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esktop\PLAN\2024\"/>
    </mc:Choice>
  </mc:AlternateContent>
  <xr:revisionPtr revIDLastSave="0" documentId="13_ncr:1_{9211554E-5D81-4DA2-8334-E2276D61DE4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6" i="7"/>
  <c r="E22" i="7"/>
  <c r="E21" i="7"/>
  <c r="E20" i="7" s="1"/>
  <c r="E19" i="7" s="1"/>
  <c r="E7" i="7" s="1"/>
  <c r="E6" i="7" s="1"/>
  <c r="E24" i="7"/>
  <c r="E25" i="7"/>
  <c r="E26" i="7"/>
  <c r="E23" i="7"/>
  <c r="F6" i="7"/>
  <c r="E8" i="7"/>
  <c r="E9" i="7"/>
  <c r="E12" i="7"/>
  <c r="E11" i="7"/>
  <c r="E10" i="7"/>
  <c r="F22" i="7"/>
  <c r="F20" i="7" s="1"/>
  <c r="F26" i="7"/>
  <c r="F24" i="7"/>
  <c r="D26" i="7"/>
  <c r="D24" i="7"/>
  <c r="F13" i="7"/>
  <c r="F9" i="7"/>
  <c r="F8" i="7" s="1"/>
  <c r="G53" i="7"/>
  <c r="G54" i="7" s="1"/>
  <c r="G49" i="7"/>
  <c r="G48" i="7"/>
  <c r="G51" i="7"/>
  <c r="F48" i="7"/>
  <c r="E48" i="7"/>
  <c r="G21" i="7"/>
  <c r="G20" i="7" s="1"/>
  <c r="G19" i="7" s="1"/>
  <c r="G45" i="7"/>
  <c r="G44" i="7" s="1"/>
  <c r="G42" i="7"/>
  <c r="G41" i="7"/>
  <c r="G40" i="7" s="1"/>
  <c r="G35" i="7"/>
  <c r="G34" i="7" s="1"/>
  <c r="G36" i="7"/>
  <c r="G10" i="7"/>
  <c r="G17" i="7"/>
  <c r="F16" i="7"/>
  <c r="F18" i="7" s="1"/>
  <c r="G15" i="7"/>
  <c r="E16" i="7"/>
  <c r="F19" i="7" l="1"/>
  <c r="G50" i="7"/>
  <c r="G33" i="7"/>
  <c r="F15" i="7"/>
  <c r="G47" i="7"/>
  <c r="G46" i="7" s="1"/>
  <c r="G43" i="7"/>
  <c r="G37" i="7"/>
  <c r="G11" i="7"/>
  <c r="G18" i="7"/>
  <c r="G8" i="7"/>
  <c r="G7" i="7" s="1"/>
  <c r="F11" i="5"/>
  <c r="F12" i="5"/>
  <c r="E11" i="5"/>
  <c r="E12" i="5"/>
  <c r="F10" i="5"/>
  <c r="E10" i="5"/>
  <c r="F24" i="8"/>
  <c r="E24" i="8"/>
  <c r="F26" i="8"/>
  <c r="F27" i="8"/>
  <c r="F28" i="8"/>
  <c r="F29" i="8"/>
  <c r="F30" i="8"/>
  <c r="F31" i="8"/>
  <c r="F32" i="8"/>
  <c r="F25" i="8"/>
  <c r="E26" i="8"/>
  <c r="E27" i="8"/>
  <c r="E28" i="8"/>
  <c r="E29" i="8"/>
  <c r="E30" i="8"/>
  <c r="E31" i="8"/>
  <c r="E32" i="8"/>
  <c r="E25" i="8"/>
  <c r="F11" i="8"/>
  <c r="F12" i="8"/>
  <c r="F13" i="8"/>
  <c r="F14" i="8"/>
  <c r="F15" i="8"/>
  <c r="F16" i="8"/>
  <c r="F17" i="8"/>
  <c r="F18" i="8"/>
  <c r="F19" i="8"/>
  <c r="F10" i="8"/>
  <c r="E11" i="8"/>
  <c r="E12" i="8"/>
  <c r="E13" i="8"/>
  <c r="E14" i="8"/>
  <c r="E15" i="8"/>
  <c r="E16" i="8"/>
  <c r="E17" i="8"/>
  <c r="E18" i="8"/>
  <c r="E19" i="8"/>
  <c r="E10" i="8"/>
  <c r="H25" i="3"/>
  <c r="H26" i="3"/>
  <c r="H27" i="3"/>
  <c r="H28" i="3"/>
  <c r="H29" i="3"/>
  <c r="H30" i="3"/>
  <c r="H24" i="3"/>
  <c r="G25" i="3"/>
  <c r="G26" i="3"/>
  <c r="G27" i="3"/>
  <c r="G28" i="3"/>
  <c r="G29" i="3"/>
  <c r="G30" i="3"/>
  <c r="G24" i="3"/>
  <c r="H11" i="3"/>
  <c r="H12" i="3"/>
  <c r="H13" i="3"/>
  <c r="H14" i="3"/>
  <c r="H15" i="3"/>
  <c r="H16" i="3"/>
  <c r="H17" i="3"/>
  <c r="H18" i="3"/>
  <c r="H10" i="3"/>
  <c r="G11" i="3"/>
  <c r="G12" i="3"/>
  <c r="G13" i="3"/>
  <c r="G14" i="3"/>
  <c r="G15" i="3"/>
  <c r="G16" i="3"/>
  <c r="G17" i="3"/>
  <c r="G18" i="3"/>
  <c r="G10" i="3"/>
  <c r="J9" i="10"/>
  <c r="J10" i="10"/>
  <c r="J11" i="10"/>
  <c r="J12" i="10"/>
  <c r="J13" i="10"/>
  <c r="J14" i="10"/>
  <c r="J8" i="10"/>
  <c r="I9" i="10"/>
  <c r="I10" i="10"/>
  <c r="I11" i="10"/>
  <c r="I12" i="10"/>
  <c r="I13" i="10"/>
  <c r="I14" i="10"/>
  <c r="I8" i="10"/>
  <c r="D10" i="5"/>
  <c r="D11" i="5"/>
  <c r="D12" i="5"/>
  <c r="D32" i="8"/>
  <c r="D24" i="8"/>
  <c r="D25" i="8"/>
  <c r="C31" i="8"/>
  <c r="D31" i="8"/>
  <c r="D26" i="8"/>
  <c r="D10" i="8"/>
  <c r="D11" i="8"/>
  <c r="D18" i="8"/>
  <c r="D19" i="8"/>
  <c r="D14" i="8"/>
  <c r="D16" i="8"/>
  <c r="D17" i="8"/>
  <c r="D15" i="8"/>
  <c r="D13" i="8"/>
  <c r="D12" i="8"/>
  <c r="F37" i="10"/>
  <c r="G13" i="10"/>
  <c r="H13" i="10"/>
  <c r="H12" i="10"/>
  <c r="H9" i="10"/>
  <c r="C10" i="5"/>
  <c r="C11" i="5"/>
  <c r="C12" i="5"/>
  <c r="C32" i="8"/>
  <c r="C25" i="8"/>
  <c r="C28" i="8"/>
  <c r="C26" i="8"/>
  <c r="B26" i="8"/>
  <c r="B32" i="8" s="1"/>
  <c r="F7" i="7" l="1"/>
  <c r="G6" i="7"/>
  <c r="C15" i="8"/>
  <c r="C14" i="8"/>
  <c r="C19" i="8"/>
  <c r="C18" i="8" s="1"/>
  <c r="C17" i="8"/>
  <c r="C16" i="8" s="1"/>
  <c r="C12" i="8"/>
  <c r="C11" i="8" s="1"/>
  <c r="F24" i="3"/>
  <c r="F27" i="3"/>
  <c r="F25" i="3"/>
  <c r="F10" i="3"/>
  <c r="C10" i="8" l="1"/>
  <c r="F29" i="3"/>
  <c r="F12" i="3"/>
  <c r="F15" i="3"/>
  <c r="E27" i="3"/>
  <c r="E25" i="3"/>
  <c r="G9" i="10"/>
  <c r="E29" i="3"/>
  <c r="E26" i="3"/>
  <c r="E10" i="3"/>
  <c r="E12" i="3"/>
  <c r="E15" i="3"/>
  <c r="B31" i="8"/>
  <c r="B15" i="8"/>
  <c r="B14" i="8" s="1"/>
  <c r="B19" i="8"/>
  <c r="B18" i="8" s="1"/>
  <c r="B17" i="8"/>
  <c r="B16" i="8" s="1"/>
  <c r="B12" i="8"/>
  <c r="B11" i="8" s="1"/>
  <c r="B10" i="8" l="1"/>
  <c r="B25" i="8"/>
  <c r="B24" i="8" s="1"/>
  <c r="B11" i="5" l="1"/>
  <c r="B10" i="5" s="1"/>
  <c r="B12" i="5"/>
  <c r="D29" i="3" l="1"/>
  <c r="D30" i="3"/>
  <c r="D28" i="3"/>
  <c r="D27" i="3"/>
  <c r="D25" i="3" s="1"/>
  <c r="D24" i="3" s="1"/>
  <c r="D26" i="3"/>
  <c r="D10" i="3"/>
  <c r="D11" i="3"/>
  <c r="D16" i="3"/>
  <c r="D13" i="3"/>
  <c r="D14" i="3"/>
  <c r="D15" i="3"/>
  <c r="D12" i="3"/>
  <c r="F35" i="10"/>
  <c r="F12" i="10"/>
  <c r="F9" i="10"/>
  <c r="G34" i="10" l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H11" i="10"/>
  <c r="F11" i="10"/>
  <c r="H8" i="10"/>
  <c r="G8" i="10"/>
  <c r="F8" i="10"/>
  <c r="H14" i="10" l="1"/>
  <c r="H22" i="10" s="1"/>
  <c r="H28" i="10" s="1"/>
  <c r="H29" i="10" s="1"/>
  <c r="F14" i="10"/>
  <c r="F22" i="10" s="1"/>
  <c r="F28" i="10" s="1"/>
  <c r="F29" i="10" s="1"/>
  <c r="I22" i="10"/>
  <c r="I28" i="10" s="1"/>
  <c r="I29" i="10" s="1"/>
  <c r="J22" i="10"/>
  <c r="J28" i="10" s="1"/>
  <c r="J29" i="10" s="1"/>
  <c r="G12" i="10"/>
  <c r="G11" i="10" s="1"/>
  <c r="G14" i="10" s="1"/>
  <c r="E24" i="3"/>
  <c r="G22" i="10" l="1"/>
  <c r="G28" i="10" s="1"/>
  <c r="G29" i="10" s="1"/>
</calcChain>
</file>

<file path=xl/sharedStrings.xml><?xml version="1.0" encoding="utf-8"?>
<sst xmlns="http://schemas.openxmlformats.org/spreadsheetml/2006/main" count="235" uniqueCount="105">
  <si>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</si>
  <si>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</si>
  <si>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</si>
  <si>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</si>
  <si>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</si>
  <si>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</si>
  <si>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</si>
  <si>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</si>
  <si>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</si>
  <si>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</si>
  <si>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</si>
  <si>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</si>
  <si>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</si>
  <si>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</si>
  <si>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</si>
  <si>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</si>
  <si>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04 Ekonomski poslovi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</si>
  <si>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</si>
  <si>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</si>
  <si>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</si>
  <si>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</si>
  <si>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</si>
  <si>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</si>
  <si>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</si>
  <si>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</si>
  <si>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</si>
  <si>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</si>
  <si>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</si>
  <si>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</si>
  <si>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</si>
  <si>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</si>
  <si>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</si>
  <si>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</si>
  <si>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</si>
  <si>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</si>
  <si>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</si>
  <si>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</si>
  <si>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</si>
  <si>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</si>
  <si>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</si>
  <si>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</si>
  <si>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</si>
  <si>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</si>
  <si>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</si>
  <si>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</si>
  <si>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</si>
  <si>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</si>
  <si>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</si>
  <si>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</si>
  <si>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</si>
  <si>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</si>
  <si>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</si>
  <si>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</si>
  <si>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</si>
  <si>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</si>
  <si>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</si>
  <si>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</si>
  <si>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</si>
  <si>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</si>
  <si>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</si>
  <si>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</si>
  <si>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</si>
  <si>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</si>
  <si>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</si>
  <si>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</si>
  <si>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</si>
  <si>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</si>
  <si>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</si>
  <si>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</si>
  <si>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</si>
  <si>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</si>
  <si>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</si>
  <si>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</si>
  <si>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</si>
  <si>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</si>
  <si>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</si>
  <si>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</si>
  <si>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</si>
  <si>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</si>
  <si>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</si>
  <si>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prodaje proizvoda i robe te pruženih usluga, prihodi od donacija te povrati po protestiranim jamstvima</t>
  </si>
  <si>
    <t>Prihodi od imovine</t>
  </si>
  <si>
    <t>Ostali prihodi</t>
  </si>
  <si>
    <t>Financijski rashodi</t>
  </si>
  <si>
    <t>0474 Višenamjenski razvojni projekti</t>
  </si>
  <si>
    <t>6.1.1 Tekuće donacije - PK</t>
  </si>
  <si>
    <t>6 Donacije</t>
  </si>
  <si>
    <t>PROGRAM 1004</t>
  </si>
  <si>
    <t>REGIONALNI RAZVOJ I FONDOVI EUROPSKE UNIJE</t>
  </si>
  <si>
    <t>Aktivnost A100006</t>
  </si>
  <si>
    <t>POTICANJE REGIONALNOG RAZVOJA</t>
  </si>
  <si>
    <t>Izvor financiranja 11</t>
  </si>
  <si>
    <t>Opći prihodi i primici</t>
  </si>
  <si>
    <t>Prihodi za posebne namjene</t>
  </si>
  <si>
    <t>Izvor financiranja 52</t>
  </si>
  <si>
    <t>Pomoći</t>
  </si>
  <si>
    <t>Izvor financiranja 61</t>
  </si>
  <si>
    <t>Tekuće donacije</t>
  </si>
  <si>
    <t>Izvor financiranja 31</t>
  </si>
  <si>
    <t>Vlastiti prihodi</t>
  </si>
  <si>
    <t>Aktivnost A100012</t>
  </si>
  <si>
    <t>PROJEKT EDIH</t>
  </si>
  <si>
    <t>Aktivnost A100013</t>
  </si>
  <si>
    <t>PROJEKT CENTAR GAMING INDUSTRIJE</t>
  </si>
  <si>
    <t>Izvor financiranja 52 - višak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</si>
</sst>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horizontal="right" vertical="center" wrapText="1"/>
    </xf>
    <xf numFmtId="3" fontId="0" fillId="0" borderId="3" xfId="0" applyNumberFormat="1" applyBorder="1"/>
    <xf numFmtId="0" fontId="0" fillId="0" borderId="3" xfId="0" applyBorder="1"/>
    <xf numFmtId="3" fontId="6" fillId="0" borderId="3" xfId="0" applyNumberFormat="1" applyFont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0" fillId="0" borderId="0" xfId="0" applyNumberFormat="1"/>
    <xf numFmtId="0" fontId="6" fillId="0" borderId="3" xfId="0" applyFont="1" applyBorder="1" applyAlignment="1">
      <alignment horizontal="righ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/>
    <xf numFmtId="3" fontId="3" fillId="0" borderId="3" xfId="0" applyNumberFormat="1" applyFont="1" applyBorder="1" applyAlignment="1">
      <alignment horizontal="righ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left" vertical="center" wrapText="1" indent="1"/>
    </xf>
    <xf numFmtId="1" fontId="0" fillId="0" borderId="3" xfId="0" applyNumberFormat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9" fillId="2" borderId="1" xfId="0" quotePrefix="1" applyFont="1" applyFill="1" applyBorder="1" applyAlignment="1">
      <alignment horizontal="left"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left" vertical="center" wrapText="1" indent="1"/>
    </xf>
    <xf numFmtId="0" fontId="9" fillId="5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esktop\GODI&#352;NJA%20FIN.IZVJE&#352;&#262;A\2022\Financijsko-izvjesce-2022.-excel.xlsx" TargetMode="External"/><Relationship Id="rId1" Type="http://schemas.openxmlformats.org/officeDocument/2006/relationships/externalLinkPath" Target="/Desktop/GODI&#352;NJA%20FIN.IZVJE&#352;&#262;A/2022/Financijsko-izvjesce-2022.-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kriveni"/>
      <sheetName val="Upute"/>
      <sheetName val="RefStr"/>
      <sheetName val="PR-RAS"/>
      <sheetName val="BILANCA"/>
      <sheetName val="RAS-funkcijski"/>
      <sheetName val="P-VRIO"/>
      <sheetName val="OBVEZE"/>
      <sheetName val="Kont"/>
      <sheetName val="Promjene"/>
    </sheetNames>
    <sheetDataSet>
      <sheetData sheetId="0" refreshError="1"/>
      <sheetData sheetId="1" refreshError="1"/>
      <sheetData sheetId="2" refreshError="1"/>
      <sheetData sheetId="3">
        <row r="152">
          <cell r="E152">
            <v>5795961.5700000003</v>
          </cell>
        </row>
        <row r="163">
          <cell r="E163">
            <v>1173154.23</v>
          </cell>
        </row>
        <row r="196">
          <cell r="E196">
            <v>14522.33</v>
          </cell>
        </row>
        <row r="363">
          <cell r="E363">
            <v>19950</v>
          </cell>
        </row>
      </sheetData>
      <sheetData sheetId="4" refreshError="1"/>
      <sheetData sheetId="5">
        <row r="61">
          <cell r="E61">
            <v>7003588.1299999999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activeCell="H8" sqref="H8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81" t="s">
        <v>20</v>
      </c>
      <c r="B3" s="81"/>
      <c r="C3" s="81"/>
      <c r="D3" s="81"/>
      <c r="E3" s="81"/>
      <c r="F3" s="81"/>
      <c r="G3" s="81"/>
      <c r="H3" s="81"/>
      <c r="I3" s="94"/>
      <c r="J3" s="94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81" t="s">
        <v>26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40</v>
      </c>
    </row>
    <row r="7" spans="1:10" ht="25.5" x14ac:dyDescent="0.25">
      <c r="A7" s="24"/>
      <c r="B7" s="25"/>
      <c r="C7" s="25"/>
      <c r="D7" s="26"/>
      <c r="E7" s="27"/>
      <c r="F7" s="3" t="s">
        <v>41</v>
      </c>
      <c r="G7" s="3" t="s">
        <v>39</v>
      </c>
      <c r="H7" s="3" t="s">
        <v>49</v>
      </c>
      <c r="I7" s="3" t="s">
        <v>50</v>
      </c>
      <c r="J7" s="3" t="s">
        <v>51</v>
      </c>
    </row>
    <row r="8" spans="1:10" x14ac:dyDescent="0.25">
      <c r="A8" s="86" t="s">
        <v>0</v>
      </c>
      <c r="B8" s="80"/>
      <c r="C8" s="80"/>
      <c r="D8" s="80"/>
      <c r="E8" s="95"/>
      <c r="F8" s="28">
        <f>F9+F10</f>
        <v>1027059.891167297</v>
      </c>
      <c r="G8" s="28">
        <f t="shared" ref="G8:H8" si="0">G9+G10</f>
        <v>1805996.45</v>
      </c>
      <c r="H8" s="28">
        <f t="shared" si="0"/>
        <v>975413.18</v>
      </c>
      <c r="I8" s="28">
        <f>H8</f>
        <v>975413.18</v>
      </c>
      <c r="J8" s="28">
        <f>I8</f>
        <v>975413.18</v>
      </c>
    </row>
    <row r="9" spans="1:10" x14ac:dyDescent="0.25">
      <c r="A9" s="96" t="s">
        <v>43</v>
      </c>
      <c r="B9" s="97"/>
      <c r="C9" s="97"/>
      <c r="D9" s="97"/>
      <c r="E9" s="98"/>
      <c r="F9" s="62">
        <f>7738382.75/7.5345</f>
        <v>1027059.891167297</v>
      </c>
      <c r="G9" s="62">
        <f>' Račun prihoda i rashoda'!E11</f>
        <v>1805996.45</v>
      </c>
      <c r="H9" s="62">
        <f>' Račun prihoda i rashoda'!F11</f>
        <v>975413.18</v>
      </c>
      <c r="I9" s="62">
        <f t="shared" ref="I9:J14" si="1">H9</f>
        <v>975413.18</v>
      </c>
      <c r="J9" s="62">
        <f t="shared" si="1"/>
        <v>975413.18</v>
      </c>
    </row>
    <row r="10" spans="1:10" x14ac:dyDescent="0.25">
      <c r="A10" s="99" t="s">
        <v>44</v>
      </c>
      <c r="B10" s="98"/>
      <c r="C10" s="98"/>
      <c r="D10" s="98"/>
      <c r="E10" s="98"/>
      <c r="F10" s="62">
        <v>0</v>
      </c>
      <c r="G10" s="62"/>
      <c r="H10" s="62"/>
      <c r="I10" s="62">
        <f t="shared" si="1"/>
        <v>0</v>
      </c>
      <c r="J10" s="62">
        <f t="shared" si="1"/>
        <v>0</v>
      </c>
    </row>
    <row r="11" spans="1:10" x14ac:dyDescent="0.25">
      <c r="A11" s="32" t="s">
        <v>1</v>
      </c>
      <c r="B11" s="40"/>
      <c r="C11" s="40"/>
      <c r="D11" s="40"/>
      <c r="E11" s="40"/>
      <c r="F11" s="28">
        <f>F12+F13</f>
        <v>926888.06556506734</v>
      </c>
      <c r="G11" s="28">
        <f t="shared" ref="G11:H11" si="2">G12+G13</f>
        <v>1805996.45</v>
      </c>
      <c r="H11" s="28">
        <f t="shared" si="2"/>
        <v>975413.18</v>
      </c>
      <c r="I11" s="28">
        <f t="shared" si="1"/>
        <v>975413.18</v>
      </c>
      <c r="J11" s="28">
        <f t="shared" si="1"/>
        <v>975413.18</v>
      </c>
    </row>
    <row r="12" spans="1:10" x14ac:dyDescent="0.25">
      <c r="A12" s="100" t="s">
        <v>45</v>
      </c>
      <c r="B12" s="97"/>
      <c r="C12" s="97"/>
      <c r="D12" s="97"/>
      <c r="E12" s="97"/>
      <c r="F12" s="62">
        <f>6983638.13/7.5345</f>
        <v>926888.06556506734</v>
      </c>
      <c r="G12" s="62">
        <f>' Račun prihoda i rashoda'!E25</f>
        <v>1755776.45</v>
      </c>
      <c r="H12" s="62">
        <f>' Račun prihoda i rashoda'!F25</f>
        <v>959963.18</v>
      </c>
      <c r="I12" s="62">
        <f t="shared" si="1"/>
        <v>959963.18</v>
      </c>
      <c r="J12" s="62">
        <f t="shared" si="1"/>
        <v>959963.18</v>
      </c>
    </row>
    <row r="13" spans="1:10" x14ac:dyDescent="0.25">
      <c r="A13" s="99" t="s">
        <v>46</v>
      </c>
      <c r="B13" s="98"/>
      <c r="C13" s="98"/>
      <c r="D13" s="98"/>
      <c r="E13" s="98"/>
      <c r="F13" s="62">
        <v>0</v>
      </c>
      <c r="G13" s="62">
        <f>' Račun prihoda i rashoda'!E29</f>
        <v>50220</v>
      </c>
      <c r="H13" s="62">
        <f>' Račun prihoda i rashoda'!F29</f>
        <v>15450</v>
      </c>
      <c r="I13" s="62">
        <f t="shared" si="1"/>
        <v>15450</v>
      </c>
      <c r="J13" s="62">
        <f t="shared" si="1"/>
        <v>15450</v>
      </c>
    </row>
    <row r="14" spans="1:10" x14ac:dyDescent="0.25">
      <c r="A14" s="79" t="s">
        <v>72</v>
      </c>
      <c r="B14" s="80"/>
      <c r="C14" s="80"/>
      <c r="D14" s="80"/>
      <c r="E14" s="80"/>
      <c r="F14" s="28">
        <f>F8-F11</f>
        <v>100171.82560222968</v>
      </c>
      <c r="G14" s="28">
        <f t="shared" ref="G14:H14" si="3">G8-G11</f>
        <v>0</v>
      </c>
      <c r="H14" s="28">
        <f t="shared" si="3"/>
        <v>0</v>
      </c>
      <c r="I14" s="28">
        <f t="shared" si="1"/>
        <v>0</v>
      </c>
      <c r="J14" s="28">
        <f t="shared" si="1"/>
        <v>0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81" t="s">
        <v>27</v>
      </c>
      <c r="B16" s="82"/>
      <c r="C16" s="82"/>
      <c r="D16" s="82"/>
      <c r="E16" s="82"/>
      <c r="F16" s="82"/>
      <c r="G16" s="82"/>
      <c r="H16" s="82"/>
      <c r="I16" s="82"/>
      <c r="J16" s="82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4"/>
      <c r="B18" s="25"/>
      <c r="C18" s="25"/>
      <c r="D18" s="26"/>
      <c r="E18" s="27"/>
      <c r="F18" s="3" t="s">
        <v>41</v>
      </c>
      <c r="G18" s="3" t="s">
        <v>39</v>
      </c>
      <c r="H18" s="3" t="s">
        <v>49</v>
      </c>
      <c r="I18" s="3" t="s">
        <v>50</v>
      </c>
      <c r="J18" s="3" t="s">
        <v>51</v>
      </c>
    </row>
    <row r="19" spans="1:10" x14ac:dyDescent="0.25">
      <c r="A19" s="92" t="s">
        <v>47</v>
      </c>
      <c r="B19" s="93"/>
      <c r="C19" s="93"/>
      <c r="D19" s="93"/>
      <c r="E19" s="93"/>
      <c r="F19" s="29">
        <v>0</v>
      </c>
      <c r="G19" s="29">
        <v>0</v>
      </c>
      <c r="H19" s="29">
        <v>0</v>
      </c>
      <c r="I19" s="29"/>
      <c r="J19" s="41"/>
    </row>
    <row r="20" spans="1:10" x14ac:dyDescent="0.25">
      <c r="A20" s="92" t="s">
        <v>48</v>
      </c>
      <c r="B20" s="93"/>
      <c r="C20" s="93"/>
      <c r="D20" s="93"/>
      <c r="E20" s="93"/>
      <c r="F20" s="29">
        <v>0</v>
      </c>
      <c r="G20" s="29">
        <v>0</v>
      </c>
      <c r="H20" s="29">
        <v>0</v>
      </c>
      <c r="I20" s="29"/>
      <c r="J20" s="41"/>
    </row>
    <row r="21" spans="1:10" x14ac:dyDescent="0.25">
      <c r="A21" s="79" t="s">
        <v>2</v>
      </c>
      <c r="B21" s="80"/>
      <c r="C21" s="80"/>
      <c r="D21" s="80"/>
      <c r="E21" s="80"/>
      <c r="F21" s="28">
        <f>F19-F20</f>
        <v>0</v>
      </c>
      <c r="G21" s="28">
        <f t="shared" ref="G21:J21" si="4">G19-G20</f>
        <v>0</v>
      </c>
      <c r="H21" s="28">
        <f t="shared" si="4"/>
        <v>0</v>
      </c>
      <c r="I21" s="28">
        <f t="shared" si="4"/>
        <v>0</v>
      </c>
      <c r="J21" s="28">
        <f t="shared" si="4"/>
        <v>0</v>
      </c>
    </row>
    <row r="22" spans="1:10" x14ac:dyDescent="0.25">
      <c r="A22" s="79" t="s">
        <v>73</v>
      </c>
      <c r="B22" s="80"/>
      <c r="C22" s="80"/>
      <c r="D22" s="80"/>
      <c r="E22" s="80"/>
      <c r="F22" s="28">
        <f>F14+F21</f>
        <v>100171.82560222968</v>
      </c>
      <c r="G22" s="28">
        <f t="shared" ref="G22:J22" si="5">G14+G21</f>
        <v>0</v>
      </c>
      <c r="H22" s="28">
        <f t="shared" si="5"/>
        <v>0</v>
      </c>
      <c r="I22" s="28">
        <f t="shared" si="5"/>
        <v>0</v>
      </c>
      <c r="J22" s="28">
        <f t="shared" si="5"/>
        <v>0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81" t="s">
        <v>74</v>
      </c>
      <c r="B24" s="82"/>
      <c r="C24" s="82"/>
      <c r="D24" s="82"/>
      <c r="E24" s="82"/>
      <c r="F24" s="82"/>
      <c r="G24" s="82"/>
      <c r="H24" s="82"/>
      <c r="I24" s="82"/>
      <c r="J24" s="82"/>
    </row>
    <row r="25" spans="1:10" ht="15.75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25.5" x14ac:dyDescent="0.25">
      <c r="A26" s="24"/>
      <c r="B26" s="25"/>
      <c r="C26" s="25"/>
      <c r="D26" s="26"/>
      <c r="E26" s="27"/>
      <c r="F26" s="3" t="s">
        <v>41</v>
      </c>
      <c r="G26" s="3" t="s">
        <v>39</v>
      </c>
      <c r="H26" s="3" t="s">
        <v>49</v>
      </c>
      <c r="I26" s="3" t="s">
        <v>50</v>
      </c>
      <c r="J26" s="3" t="s">
        <v>51</v>
      </c>
    </row>
    <row r="27" spans="1:10" ht="15" customHeight="1" x14ac:dyDescent="0.25">
      <c r="A27" s="83" t="s">
        <v>75</v>
      </c>
      <c r="B27" s="84"/>
      <c r="C27" s="84"/>
      <c r="D27" s="84"/>
      <c r="E27" s="85"/>
      <c r="F27" s="42">
        <v>0</v>
      </c>
      <c r="G27" s="42">
        <v>0</v>
      </c>
      <c r="H27" s="42">
        <v>0</v>
      </c>
      <c r="I27" s="42">
        <v>0</v>
      </c>
      <c r="J27" s="43">
        <v>0</v>
      </c>
    </row>
    <row r="28" spans="1:10" ht="15" customHeight="1" x14ac:dyDescent="0.25">
      <c r="A28" s="79" t="s">
        <v>76</v>
      </c>
      <c r="B28" s="80"/>
      <c r="C28" s="80"/>
      <c r="D28" s="80"/>
      <c r="E28" s="80"/>
      <c r="F28" s="44">
        <f>F22+F27</f>
        <v>100171.82560222968</v>
      </c>
      <c r="G28" s="44">
        <f t="shared" ref="G28:J28" si="6">G22+G27</f>
        <v>0</v>
      </c>
      <c r="H28" s="44">
        <f t="shared" si="6"/>
        <v>0</v>
      </c>
      <c r="I28" s="44">
        <f t="shared" si="6"/>
        <v>0</v>
      </c>
      <c r="J28" s="45">
        <f t="shared" si="6"/>
        <v>0</v>
      </c>
    </row>
    <row r="29" spans="1:10" ht="45" customHeight="1" x14ac:dyDescent="0.25">
      <c r="A29" s="86" t="s">
        <v>77</v>
      </c>
      <c r="B29" s="87"/>
      <c r="C29" s="87"/>
      <c r="D29" s="87"/>
      <c r="E29" s="88"/>
      <c r="F29" s="44">
        <f>F14+F21+F27-F28</f>
        <v>0</v>
      </c>
      <c r="G29" s="44">
        <f t="shared" ref="G29:J29" si="7">G14+G21+G27-G28</f>
        <v>0</v>
      </c>
      <c r="H29" s="44">
        <f t="shared" si="7"/>
        <v>0</v>
      </c>
      <c r="I29" s="44">
        <f t="shared" si="7"/>
        <v>0</v>
      </c>
      <c r="J29" s="45">
        <f t="shared" si="7"/>
        <v>0</v>
      </c>
    </row>
    <row r="30" spans="1:10" ht="15.75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</row>
    <row r="31" spans="1:10" ht="15.75" x14ac:dyDescent="0.25">
      <c r="A31" s="89" t="s">
        <v>71</v>
      </c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18" x14ac:dyDescent="0.25">
      <c r="A32" s="48"/>
      <c r="B32" s="49"/>
      <c r="C32" s="49"/>
      <c r="D32" s="49"/>
      <c r="E32" s="49"/>
      <c r="F32" s="49"/>
      <c r="G32" s="49"/>
      <c r="H32" s="50"/>
      <c r="I32" s="50"/>
      <c r="J32" s="50"/>
    </row>
    <row r="33" spans="1:10" ht="25.5" x14ac:dyDescent="0.25">
      <c r="A33" s="51"/>
      <c r="B33" s="52"/>
      <c r="C33" s="52"/>
      <c r="D33" s="53"/>
      <c r="E33" s="54"/>
      <c r="F33" s="55" t="s">
        <v>41</v>
      </c>
      <c r="G33" s="55" t="s">
        <v>39</v>
      </c>
      <c r="H33" s="55" t="s">
        <v>49</v>
      </c>
      <c r="I33" s="55" t="s">
        <v>50</v>
      </c>
      <c r="J33" s="55" t="s">
        <v>51</v>
      </c>
    </row>
    <row r="34" spans="1:10" x14ac:dyDescent="0.25">
      <c r="A34" s="83" t="s">
        <v>75</v>
      </c>
      <c r="B34" s="84"/>
      <c r="C34" s="84"/>
      <c r="D34" s="84"/>
      <c r="E34" s="85"/>
      <c r="F34" s="42">
        <v>0</v>
      </c>
      <c r="G34" s="42">
        <f>F37</f>
        <v>419068.18103391066</v>
      </c>
      <c r="H34" s="42">
        <f>G37</f>
        <v>0.1810339106596075</v>
      </c>
      <c r="I34" s="42">
        <f>H37</f>
        <v>0.1810339106596075</v>
      </c>
      <c r="J34" s="43">
        <f>I37</f>
        <v>0.1810339106596075</v>
      </c>
    </row>
    <row r="35" spans="1:10" ht="28.5" customHeight="1" x14ac:dyDescent="0.25">
      <c r="A35" s="83" t="s">
        <v>78</v>
      </c>
      <c r="B35" s="84"/>
      <c r="C35" s="84"/>
      <c r="D35" s="84"/>
      <c r="E35" s="85"/>
      <c r="F35" s="42">
        <f>3157469.21/7.5345</f>
        <v>419068.18103391066</v>
      </c>
      <c r="G35" s="42">
        <v>419068</v>
      </c>
      <c r="H35" s="42">
        <v>0</v>
      </c>
      <c r="I35" s="42">
        <v>0</v>
      </c>
      <c r="J35" s="43">
        <v>0</v>
      </c>
    </row>
    <row r="36" spans="1:10" x14ac:dyDescent="0.25">
      <c r="A36" s="83" t="s">
        <v>79</v>
      </c>
      <c r="B36" s="90"/>
      <c r="C36" s="90"/>
      <c r="D36" s="90"/>
      <c r="E36" s="91"/>
      <c r="F36" s="42">
        <v>0</v>
      </c>
      <c r="G36" s="42">
        <v>0</v>
      </c>
      <c r="H36" s="42">
        <v>0</v>
      </c>
      <c r="I36" s="42">
        <v>0</v>
      </c>
      <c r="J36" s="43">
        <v>0</v>
      </c>
    </row>
    <row r="37" spans="1:10" ht="15" customHeight="1" x14ac:dyDescent="0.25">
      <c r="A37" s="79" t="s">
        <v>76</v>
      </c>
      <c r="B37" s="80"/>
      <c r="C37" s="80"/>
      <c r="D37" s="80"/>
      <c r="E37" s="80"/>
      <c r="F37" s="30">
        <f>(F34-F35+F36)*(-1)</f>
        <v>419068.18103391066</v>
      </c>
      <c r="G37" s="30">
        <f t="shared" ref="G37:J37" si="8">G34-G35+G36</f>
        <v>0.1810339106596075</v>
      </c>
      <c r="H37" s="30">
        <f t="shared" si="8"/>
        <v>0.1810339106596075</v>
      </c>
      <c r="I37" s="30">
        <f t="shared" si="8"/>
        <v>0.1810339106596075</v>
      </c>
      <c r="J37" s="56">
        <f t="shared" si="8"/>
        <v>0.1810339106596075</v>
      </c>
    </row>
    <row r="38" spans="1:10" ht="17.25" customHeight="1" x14ac:dyDescent="0.25"/>
    <row r="39" spans="1:10" x14ac:dyDescent="0.25">
      <c r="A39" s="77" t="s">
        <v>42</v>
      </c>
      <c r="B39" s="78"/>
      <c r="C39" s="78"/>
      <c r="D39" s="78"/>
      <c r="E39" s="78"/>
      <c r="F39" s="78"/>
      <c r="G39" s="78"/>
      <c r="H39" s="78"/>
      <c r="I39" s="78"/>
      <c r="J39" s="7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workbookViewId="0">
      <selection activeCell="Q12" sqref="Q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1" t="s">
        <v>35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1" t="s">
        <v>20</v>
      </c>
      <c r="B3" s="81"/>
      <c r="C3" s="81"/>
      <c r="D3" s="81"/>
      <c r="E3" s="81"/>
      <c r="F3" s="81"/>
      <c r="G3" s="81"/>
      <c r="H3" s="8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1" t="s">
        <v>4</v>
      </c>
      <c r="B5" s="81"/>
      <c r="C5" s="81"/>
      <c r="D5" s="81"/>
      <c r="E5" s="81"/>
      <c r="F5" s="81"/>
      <c r="G5" s="81"/>
      <c r="H5" s="8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1" t="s">
        <v>52</v>
      </c>
      <c r="B7" s="81"/>
      <c r="C7" s="81"/>
      <c r="D7" s="81"/>
      <c r="E7" s="81"/>
      <c r="F7" s="81"/>
      <c r="G7" s="81"/>
      <c r="H7" s="81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8" t="s">
        <v>5</v>
      </c>
      <c r="B9" s="17" t="s">
        <v>6</v>
      </c>
      <c r="C9" s="17" t="s">
        <v>3</v>
      </c>
      <c r="D9" s="17" t="s">
        <v>38</v>
      </c>
      <c r="E9" s="18" t="s">
        <v>39</v>
      </c>
      <c r="F9" s="18" t="s">
        <v>36</v>
      </c>
      <c r="G9" s="18" t="s">
        <v>28</v>
      </c>
      <c r="H9" s="18" t="s">
        <v>37</v>
      </c>
    </row>
    <row r="10" spans="1:8" x14ac:dyDescent="0.25">
      <c r="A10" s="34"/>
      <c r="B10" s="35"/>
      <c r="C10" s="33" t="s">
        <v>0</v>
      </c>
      <c r="D10" s="57">
        <f>D11+D17</f>
        <v>1027059.891167297</v>
      </c>
      <c r="E10" s="60">
        <f>E11</f>
        <v>1805996.45</v>
      </c>
      <c r="F10" s="60">
        <f>F11</f>
        <v>975413.18</v>
      </c>
      <c r="G10" s="60">
        <f>F10</f>
        <v>975413.18</v>
      </c>
      <c r="H10" s="60">
        <f>G10</f>
        <v>975413.18</v>
      </c>
    </row>
    <row r="11" spans="1:8" ht="15.75" customHeight="1" x14ac:dyDescent="0.25">
      <c r="A11" s="15">
        <v>6</v>
      </c>
      <c r="B11" s="15"/>
      <c r="C11" s="15" t="s">
        <v>7</v>
      </c>
      <c r="D11" s="8">
        <f>SUM(D12:D16)</f>
        <v>1027059.891167297</v>
      </c>
      <c r="E11" s="9">
        <v>1805996.45</v>
      </c>
      <c r="F11" s="9">
        <v>975413.18</v>
      </c>
      <c r="G11" s="68">
        <f t="shared" ref="G11:H18" si="0">F11</f>
        <v>975413.18</v>
      </c>
      <c r="H11" s="68">
        <f t="shared" si="0"/>
        <v>975413.18</v>
      </c>
    </row>
    <row r="12" spans="1:8" ht="38.25" x14ac:dyDescent="0.25">
      <c r="A12" s="11"/>
      <c r="B12" s="15">
        <v>63</v>
      </c>
      <c r="C12" s="15" t="s">
        <v>30</v>
      </c>
      <c r="D12" s="8">
        <f>6285780.38/7.5345</f>
        <v>834266.42511115526</v>
      </c>
      <c r="E12" s="63">
        <f>E11-E13-E14-E15-E16</f>
        <v>1048776.55</v>
      </c>
      <c r="F12" s="9">
        <f>F11-F13-F14-F15-F16</f>
        <v>437819.31</v>
      </c>
      <c r="G12" s="68">
        <f t="shared" si="0"/>
        <v>437819.31</v>
      </c>
      <c r="H12" s="68">
        <f t="shared" si="0"/>
        <v>437819.31</v>
      </c>
    </row>
    <row r="13" spans="1:8" x14ac:dyDescent="0.25">
      <c r="A13" s="11"/>
      <c r="B13" s="15">
        <v>64</v>
      </c>
      <c r="C13" s="15" t="s">
        <v>81</v>
      </c>
      <c r="D13" s="8">
        <f>45.97/7.5345</f>
        <v>6.1012675028203596</v>
      </c>
      <c r="E13" s="9">
        <v>4</v>
      </c>
      <c r="F13" s="9">
        <v>4</v>
      </c>
      <c r="G13" s="68">
        <f t="shared" si="0"/>
        <v>4</v>
      </c>
      <c r="H13" s="68">
        <f t="shared" si="0"/>
        <v>4</v>
      </c>
    </row>
    <row r="14" spans="1:8" ht="51" x14ac:dyDescent="0.25">
      <c r="A14" s="12"/>
      <c r="B14" s="12">
        <v>66</v>
      </c>
      <c r="C14" s="15" t="s">
        <v>80</v>
      </c>
      <c r="D14" s="8">
        <f>44900/7.5345</f>
        <v>5959.2540978167099</v>
      </c>
      <c r="E14" s="9">
        <v>6000</v>
      </c>
      <c r="F14" s="9">
        <v>3000</v>
      </c>
      <c r="G14" s="68">
        <f t="shared" si="0"/>
        <v>3000</v>
      </c>
      <c r="H14" s="68">
        <f t="shared" si="0"/>
        <v>3000</v>
      </c>
    </row>
    <row r="15" spans="1:8" ht="38.25" x14ac:dyDescent="0.25">
      <c r="A15" s="12"/>
      <c r="B15" s="12">
        <v>67</v>
      </c>
      <c r="C15" s="15" t="s">
        <v>32</v>
      </c>
      <c r="D15" s="8">
        <f>1397656.21/7.5345</f>
        <v>185500.85738934233</v>
      </c>
      <c r="E15" s="9">
        <f>196691+93175.68</f>
        <v>289866.68</v>
      </c>
      <c r="F15" s="9">
        <f>E15</f>
        <v>289866.68</v>
      </c>
      <c r="G15" s="68">
        <f t="shared" si="0"/>
        <v>289866.68</v>
      </c>
      <c r="H15" s="68">
        <f t="shared" si="0"/>
        <v>289866.68</v>
      </c>
    </row>
    <row r="16" spans="1:8" x14ac:dyDescent="0.25">
      <c r="A16" s="12"/>
      <c r="B16" s="12">
        <v>68</v>
      </c>
      <c r="C16" s="15" t="s">
        <v>82</v>
      </c>
      <c r="D16" s="8">
        <f>10000.19/7.5345</f>
        <v>1327.2533014798594</v>
      </c>
      <c r="E16" s="9">
        <v>461349.22</v>
      </c>
      <c r="F16" s="9">
        <v>244723.19</v>
      </c>
      <c r="G16" s="68">
        <f t="shared" si="0"/>
        <v>244723.19</v>
      </c>
      <c r="H16" s="68">
        <f t="shared" si="0"/>
        <v>244723.19</v>
      </c>
    </row>
    <row r="17" spans="1:8" ht="25.5" x14ac:dyDescent="0.25">
      <c r="A17" s="14">
        <v>7</v>
      </c>
      <c r="B17" s="14"/>
      <c r="C17" s="22" t="s">
        <v>8</v>
      </c>
      <c r="D17" s="8">
        <v>0</v>
      </c>
      <c r="E17" s="9">
        <v>0</v>
      </c>
      <c r="F17" s="9">
        <v>0</v>
      </c>
      <c r="G17" s="68">
        <f t="shared" si="0"/>
        <v>0</v>
      </c>
      <c r="H17" s="68">
        <f t="shared" si="0"/>
        <v>0</v>
      </c>
    </row>
    <row r="18" spans="1:8" ht="38.25" x14ac:dyDescent="0.25">
      <c r="A18" s="15"/>
      <c r="B18" s="15">
        <v>72</v>
      </c>
      <c r="C18" s="23" t="s">
        <v>29</v>
      </c>
      <c r="D18" s="8">
        <v>0</v>
      </c>
      <c r="E18" s="9">
        <v>0</v>
      </c>
      <c r="F18" s="9">
        <v>0</v>
      </c>
      <c r="G18" s="68">
        <f t="shared" si="0"/>
        <v>0</v>
      </c>
      <c r="H18" s="68">
        <f t="shared" si="0"/>
        <v>0</v>
      </c>
    </row>
    <row r="21" spans="1:8" ht="15.75" x14ac:dyDescent="0.25">
      <c r="A21" s="81" t="s">
        <v>53</v>
      </c>
      <c r="B21" s="101"/>
      <c r="C21" s="101"/>
      <c r="D21" s="101"/>
      <c r="E21" s="101"/>
      <c r="F21" s="101"/>
      <c r="G21" s="101"/>
      <c r="H21" s="101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18" t="s">
        <v>5</v>
      </c>
      <c r="B23" s="17" t="s">
        <v>6</v>
      </c>
      <c r="C23" s="17" t="s">
        <v>9</v>
      </c>
      <c r="D23" s="17" t="s">
        <v>38</v>
      </c>
      <c r="E23" s="18" t="s">
        <v>39</v>
      </c>
      <c r="F23" s="18" t="s">
        <v>36</v>
      </c>
      <c r="G23" s="18" t="s">
        <v>28</v>
      </c>
      <c r="H23" s="18" t="s">
        <v>37</v>
      </c>
    </row>
    <row r="24" spans="1:8" x14ac:dyDescent="0.25">
      <c r="A24" s="34"/>
      <c r="B24" s="35"/>
      <c r="C24" s="33" t="s">
        <v>1</v>
      </c>
      <c r="D24" s="57">
        <f>D25+D29</f>
        <v>929535.8855929391</v>
      </c>
      <c r="E24" s="60">
        <f>E25+E29</f>
        <v>1805996.45</v>
      </c>
      <c r="F24" s="60">
        <f>F25+F29</f>
        <v>975413.18</v>
      </c>
      <c r="G24" s="60">
        <f>F24</f>
        <v>975413.18</v>
      </c>
      <c r="H24" s="60">
        <f>G24</f>
        <v>975413.18</v>
      </c>
    </row>
    <row r="25" spans="1:8" ht="15.75" customHeight="1" x14ac:dyDescent="0.25">
      <c r="A25" s="11">
        <v>3</v>
      </c>
      <c r="B25" s="11"/>
      <c r="C25" s="11" t="s">
        <v>10</v>
      </c>
      <c r="D25" s="8">
        <f>SUM(D26:D28)</f>
        <v>926888.06556506734</v>
      </c>
      <c r="E25" s="9">
        <f>E11-E29</f>
        <v>1755776.45</v>
      </c>
      <c r="F25" s="9">
        <f>F10-F29</f>
        <v>959963.18</v>
      </c>
      <c r="G25" s="68">
        <f t="shared" ref="G25:H30" si="1">F25</f>
        <v>959963.18</v>
      </c>
      <c r="H25" s="68">
        <f t="shared" si="1"/>
        <v>959963.18</v>
      </c>
    </row>
    <row r="26" spans="1:8" ht="15.75" customHeight="1" x14ac:dyDescent="0.25">
      <c r="A26" s="11"/>
      <c r="B26" s="15">
        <v>31</v>
      </c>
      <c r="C26" s="15" t="s">
        <v>11</v>
      </c>
      <c r="D26" s="8">
        <f>('[1]PR-RAS'!$E$152)/7.5345</f>
        <v>769256.29703364521</v>
      </c>
      <c r="E26" s="9">
        <f>142317.12+654602.92</f>
        <v>796920.04</v>
      </c>
      <c r="F26" s="9">
        <v>836186.68</v>
      </c>
      <c r="G26" s="68">
        <f t="shared" si="1"/>
        <v>836186.68</v>
      </c>
      <c r="H26" s="68">
        <f t="shared" si="1"/>
        <v>836186.68</v>
      </c>
    </row>
    <row r="27" spans="1:8" x14ac:dyDescent="0.25">
      <c r="A27" s="12"/>
      <c r="B27" s="12">
        <v>32</v>
      </c>
      <c r="C27" s="12" t="s">
        <v>23</v>
      </c>
      <c r="D27" s="8">
        <f>'[1]PR-RAS'!$E$163/7.5345</f>
        <v>155704.32410909815</v>
      </c>
      <c r="E27" s="9">
        <f>E25-E26-E28</f>
        <v>958192.40999999992</v>
      </c>
      <c r="F27" s="9">
        <f>F25-F26-F28</f>
        <v>122912.5</v>
      </c>
      <c r="G27" s="68">
        <f t="shared" si="1"/>
        <v>122912.5</v>
      </c>
      <c r="H27" s="68">
        <f t="shared" si="1"/>
        <v>122912.5</v>
      </c>
    </row>
    <row r="28" spans="1:8" x14ac:dyDescent="0.25">
      <c r="A28" s="12"/>
      <c r="B28" s="12">
        <v>34</v>
      </c>
      <c r="C28" s="12" t="s">
        <v>83</v>
      </c>
      <c r="D28" s="8">
        <f>('[1]PR-RAS'!$E$196)/7.5345</f>
        <v>1927.4444223239764</v>
      </c>
      <c r="E28" s="9">
        <v>664</v>
      </c>
      <c r="F28" s="9">
        <v>864</v>
      </c>
      <c r="G28" s="68">
        <f t="shared" si="1"/>
        <v>864</v>
      </c>
      <c r="H28" s="68">
        <f t="shared" si="1"/>
        <v>864</v>
      </c>
    </row>
    <row r="29" spans="1:8" ht="25.5" x14ac:dyDescent="0.25">
      <c r="A29" s="14">
        <v>4</v>
      </c>
      <c r="B29" s="14"/>
      <c r="C29" s="22" t="s">
        <v>12</v>
      </c>
      <c r="D29" s="8">
        <f>D30</f>
        <v>2647.8200278717895</v>
      </c>
      <c r="E29" s="9">
        <f>E30</f>
        <v>50220</v>
      </c>
      <c r="F29" s="9">
        <f>F30</f>
        <v>15450</v>
      </c>
      <c r="G29" s="68">
        <f t="shared" si="1"/>
        <v>15450</v>
      </c>
      <c r="H29" s="68">
        <f t="shared" si="1"/>
        <v>15450</v>
      </c>
    </row>
    <row r="30" spans="1:8" ht="38.25" x14ac:dyDescent="0.25">
      <c r="A30" s="15"/>
      <c r="B30" s="15">
        <v>41</v>
      </c>
      <c r="C30" s="23" t="s">
        <v>13</v>
      </c>
      <c r="D30" s="8">
        <f>'[1]PR-RAS'!$E$363/7.5345</f>
        <v>2647.8200278717895</v>
      </c>
      <c r="E30" s="9">
        <v>50220</v>
      </c>
      <c r="F30" s="9">
        <v>15450</v>
      </c>
      <c r="G30" s="68">
        <f t="shared" si="1"/>
        <v>15450</v>
      </c>
      <c r="H30" s="68">
        <f t="shared" si="1"/>
        <v>15450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topLeftCell="A16" workbookViewId="0">
      <selection activeCell="K9" sqref="J9:K9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1" t="s">
        <v>35</v>
      </c>
      <c r="B1" s="81"/>
      <c r="C1" s="81"/>
      <c r="D1" s="81"/>
      <c r="E1" s="81"/>
      <c r="F1" s="8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1" t="s">
        <v>20</v>
      </c>
      <c r="B3" s="81"/>
      <c r="C3" s="81"/>
      <c r="D3" s="81"/>
      <c r="E3" s="81"/>
      <c r="F3" s="81"/>
    </row>
    <row r="4" spans="1:6" ht="18" x14ac:dyDescent="0.25">
      <c r="B4" s="4"/>
      <c r="C4" s="4"/>
      <c r="D4" s="4"/>
      <c r="E4" s="5"/>
      <c r="F4" s="5"/>
    </row>
    <row r="5" spans="1:6" ht="18" customHeight="1" x14ac:dyDescent="0.25">
      <c r="A5" s="81" t="s">
        <v>4</v>
      </c>
      <c r="B5" s="81"/>
      <c r="C5" s="81"/>
      <c r="D5" s="81"/>
      <c r="E5" s="81"/>
      <c r="F5" s="81"/>
    </row>
    <row r="6" spans="1:6" ht="18" x14ac:dyDescent="0.25">
      <c r="A6" s="4"/>
      <c r="B6" s="4"/>
      <c r="C6" s="4"/>
      <c r="D6" s="4"/>
      <c r="E6" s="5"/>
      <c r="F6" s="5"/>
    </row>
    <row r="7" spans="1:6" ht="15.75" customHeight="1" x14ac:dyDescent="0.25">
      <c r="A7" s="81" t="s">
        <v>54</v>
      </c>
      <c r="B7" s="81"/>
      <c r="C7" s="81"/>
      <c r="D7" s="81"/>
      <c r="E7" s="81"/>
      <c r="F7" s="8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56</v>
      </c>
      <c r="B9" s="17" t="s">
        <v>38</v>
      </c>
      <c r="C9" s="18" t="s">
        <v>39</v>
      </c>
      <c r="D9" s="18" t="s">
        <v>36</v>
      </c>
      <c r="E9" s="18" t="s">
        <v>28</v>
      </c>
      <c r="F9" s="18" t="s">
        <v>37</v>
      </c>
    </row>
    <row r="10" spans="1:6" x14ac:dyDescent="0.25">
      <c r="A10" s="36" t="s">
        <v>0</v>
      </c>
      <c r="B10" s="57">
        <f>B11+B14+B16+B18+B13</f>
        <v>1027059.7898997942</v>
      </c>
      <c r="C10" s="57">
        <f>C11+C14+C16+C18+C13</f>
        <v>1805996.45</v>
      </c>
      <c r="D10" s="60">
        <f>D11+D14+D16+D18+D13</f>
        <v>975413.17999999993</v>
      </c>
      <c r="E10" s="60">
        <f>D10</f>
        <v>975413.17999999993</v>
      </c>
      <c r="F10" s="60">
        <f>E10</f>
        <v>975413.17999999993</v>
      </c>
    </row>
    <row r="11" spans="1:6" x14ac:dyDescent="0.25">
      <c r="A11" s="22" t="s">
        <v>61</v>
      </c>
      <c r="B11" s="60">
        <f>B12</f>
        <v>185500.85738934233</v>
      </c>
      <c r="C11" s="60">
        <f>C12</f>
        <v>289866.68</v>
      </c>
      <c r="D11" s="60">
        <f>D12</f>
        <v>289866.68</v>
      </c>
      <c r="E11" s="60">
        <f t="shared" ref="E11:F19" si="0">D11</f>
        <v>289866.68</v>
      </c>
      <c r="F11" s="60">
        <f t="shared" si="0"/>
        <v>289866.68</v>
      </c>
    </row>
    <row r="12" spans="1:6" x14ac:dyDescent="0.25">
      <c r="A12" s="13" t="s">
        <v>62</v>
      </c>
      <c r="B12" s="9">
        <f>' Račun prihoda i rashoda'!D15</f>
        <v>185500.85738934233</v>
      </c>
      <c r="C12" s="9">
        <f>' Račun prihoda i rashoda'!E15</f>
        <v>289866.68</v>
      </c>
      <c r="D12" s="9">
        <f>' Račun prihoda i rashoda'!F15</f>
        <v>289866.68</v>
      </c>
      <c r="E12" s="68">
        <f t="shared" si="0"/>
        <v>289866.68</v>
      </c>
      <c r="F12" s="68">
        <f t="shared" si="0"/>
        <v>289866.68</v>
      </c>
    </row>
    <row r="13" spans="1:6" s="67" customFormat="1" x14ac:dyDescent="0.25">
      <c r="A13" s="65" t="s">
        <v>63</v>
      </c>
      <c r="B13" s="61">
        <v>6</v>
      </c>
      <c r="C13" s="62">
        <v>4</v>
      </c>
      <c r="D13" s="62">
        <f>' Račun prihoda i rashoda'!F13</f>
        <v>4</v>
      </c>
      <c r="E13" s="60">
        <f t="shared" si="0"/>
        <v>4</v>
      </c>
      <c r="F13" s="60">
        <f t="shared" si="0"/>
        <v>4</v>
      </c>
    </row>
    <row r="14" spans="1:6" ht="25.5" x14ac:dyDescent="0.25">
      <c r="A14" s="11" t="s">
        <v>59</v>
      </c>
      <c r="B14" s="61">
        <f>B15</f>
        <v>1327.2533014798594</v>
      </c>
      <c r="C14" s="62">
        <f>C15</f>
        <v>461349.22</v>
      </c>
      <c r="D14" s="62">
        <f>D15</f>
        <v>244723.19</v>
      </c>
      <c r="E14" s="60">
        <f t="shared" si="0"/>
        <v>244723.19</v>
      </c>
      <c r="F14" s="60">
        <f t="shared" si="0"/>
        <v>244723.19</v>
      </c>
    </row>
    <row r="15" spans="1:6" ht="25.5" x14ac:dyDescent="0.25">
      <c r="A15" s="16" t="s">
        <v>60</v>
      </c>
      <c r="B15" s="8">
        <f>' Račun prihoda i rashoda'!D16</f>
        <v>1327.2533014798594</v>
      </c>
      <c r="C15" s="9">
        <f>' Račun prihoda i rashoda'!E16</f>
        <v>461349.22</v>
      </c>
      <c r="D15" s="62">
        <f>' Račun prihoda i rashoda'!F16</f>
        <v>244723.19</v>
      </c>
      <c r="E15" s="60">
        <f t="shared" si="0"/>
        <v>244723.19</v>
      </c>
      <c r="F15" s="60">
        <f t="shared" si="0"/>
        <v>244723.19</v>
      </c>
    </row>
    <row r="16" spans="1:6" s="67" customFormat="1" x14ac:dyDescent="0.25">
      <c r="A16" s="36" t="s">
        <v>57</v>
      </c>
      <c r="B16" s="61">
        <f>B17</f>
        <v>834266.42511115526</v>
      </c>
      <c r="C16" s="62">
        <f>C17</f>
        <v>1048776.55</v>
      </c>
      <c r="D16" s="62">
        <f>D17</f>
        <v>437819.31</v>
      </c>
      <c r="E16" s="60">
        <f t="shared" si="0"/>
        <v>437819.31</v>
      </c>
      <c r="F16" s="60">
        <f t="shared" si="0"/>
        <v>437819.31</v>
      </c>
    </row>
    <row r="17" spans="1:6" x14ac:dyDescent="0.25">
      <c r="A17" s="13" t="s">
        <v>58</v>
      </c>
      <c r="B17" s="8">
        <f>' Račun prihoda i rashoda'!D12</f>
        <v>834266.42511115526</v>
      </c>
      <c r="C17" s="9">
        <f>' Račun prihoda i rashoda'!E12</f>
        <v>1048776.55</v>
      </c>
      <c r="D17" s="9">
        <f>' Račun prihoda i rashoda'!F12</f>
        <v>437819.31</v>
      </c>
      <c r="E17" s="68">
        <f t="shared" si="0"/>
        <v>437819.31</v>
      </c>
      <c r="F17" s="68">
        <f t="shared" si="0"/>
        <v>437819.31</v>
      </c>
    </row>
    <row r="18" spans="1:6" x14ac:dyDescent="0.25">
      <c r="A18" s="36" t="s">
        <v>86</v>
      </c>
      <c r="B18" s="62">
        <f>B19</f>
        <v>5959.2540978167099</v>
      </c>
      <c r="C18" s="62">
        <f>C19</f>
        <v>6000</v>
      </c>
      <c r="D18" s="62">
        <f>D19</f>
        <v>3000</v>
      </c>
      <c r="E18" s="60">
        <f t="shared" si="0"/>
        <v>3000</v>
      </c>
      <c r="F18" s="60">
        <f t="shared" si="0"/>
        <v>3000</v>
      </c>
    </row>
    <row r="19" spans="1:6" x14ac:dyDescent="0.25">
      <c r="A19" s="13" t="s">
        <v>85</v>
      </c>
      <c r="B19" s="58">
        <f>' Račun prihoda i rashoda'!D14</f>
        <v>5959.2540978167099</v>
      </c>
      <c r="C19" s="58">
        <f>' Račun prihoda i rashoda'!E14</f>
        <v>6000</v>
      </c>
      <c r="D19" s="58">
        <f>' Račun prihoda i rashoda'!F14</f>
        <v>3000</v>
      </c>
      <c r="E19" s="68">
        <f t="shared" si="0"/>
        <v>3000</v>
      </c>
      <c r="F19" s="68">
        <f t="shared" si="0"/>
        <v>3000</v>
      </c>
    </row>
    <row r="21" spans="1:6" ht="15.75" customHeight="1" x14ac:dyDescent="0.25">
      <c r="A21" s="81" t="s">
        <v>55</v>
      </c>
      <c r="B21" s="81"/>
      <c r="C21" s="81"/>
      <c r="D21" s="81"/>
      <c r="E21" s="81"/>
      <c r="F21" s="81"/>
    </row>
    <row r="22" spans="1:6" ht="18" x14ac:dyDescent="0.25">
      <c r="A22" s="4"/>
      <c r="B22" s="4"/>
      <c r="C22" s="4"/>
      <c r="D22" s="4"/>
      <c r="E22" s="5"/>
      <c r="F22" s="5"/>
    </row>
    <row r="23" spans="1:6" ht="25.5" x14ac:dyDescent="0.25">
      <c r="A23" s="18" t="s">
        <v>56</v>
      </c>
      <c r="B23" s="17" t="s">
        <v>38</v>
      </c>
      <c r="C23" s="18" t="s">
        <v>39</v>
      </c>
      <c r="D23" s="18" t="s">
        <v>36</v>
      </c>
      <c r="E23" s="18" t="s">
        <v>28</v>
      </c>
      <c r="F23" s="18" t="s">
        <v>37</v>
      </c>
    </row>
    <row r="24" spans="1:6" x14ac:dyDescent="0.25">
      <c r="A24" s="36" t="s">
        <v>1</v>
      </c>
      <c r="B24" s="57">
        <f>B25+B31</f>
        <v>926888.06556506734</v>
      </c>
      <c r="C24" s="57">
        <v>1805996.45</v>
      </c>
      <c r="D24" s="60">
        <f>D10</f>
        <v>975413.17999999993</v>
      </c>
      <c r="E24" s="60">
        <f>D24</f>
        <v>975413.17999999993</v>
      </c>
      <c r="F24" s="60">
        <f>E24</f>
        <v>975413.17999999993</v>
      </c>
    </row>
    <row r="25" spans="1:6" ht="15.75" customHeight="1" x14ac:dyDescent="0.25">
      <c r="A25" s="22" t="s">
        <v>61</v>
      </c>
      <c r="B25" s="8">
        <f>B26</f>
        <v>183443.89541442695</v>
      </c>
      <c r="C25" s="9">
        <f>C26</f>
        <v>289866.67</v>
      </c>
      <c r="D25" s="9">
        <f>D26</f>
        <v>289866.67</v>
      </c>
      <c r="E25" s="9">
        <f>D25</f>
        <v>289866.67</v>
      </c>
      <c r="F25" s="9">
        <f>E25</f>
        <v>289866.67</v>
      </c>
    </row>
    <row r="26" spans="1:6" x14ac:dyDescent="0.25">
      <c r="A26" s="13" t="s">
        <v>62</v>
      </c>
      <c r="B26" s="8">
        <f>(1382158.03/7.5345)</f>
        <v>183443.89541442695</v>
      </c>
      <c r="C26" s="9">
        <f>289866.67</f>
        <v>289866.67</v>
      </c>
      <c r="D26" s="9">
        <f>'Prihodi i rashodi po izvorima'!C26</f>
        <v>289866.67</v>
      </c>
      <c r="E26" s="9">
        <f t="shared" ref="E26:F32" si="1">D26</f>
        <v>289866.67</v>
      </c>
      <c r="F26" s="9">
        <f t="shared" si="1"/>
        <v>289866.67</v>
      </c>
    </row>
    <row r="27" spans="1:6" x14ac:dyDescent="0.25">
      <c r="A27" s="12" t="s">
        <v>31</v>
      </c>
      <c r="B27" s="8">
        <v>0</v>
      </c>
      <c r="C27" s="9"/>
      <c r="D27" s="9"/>
      <c r="E27" s="9">
        <f t="shared" si="1"/>
        <v>0</v>
      </c>
      <c r="F27" s="9">
        <f t="shared" si="1"/>
        <v>0</v>
      </c>
    </row>
    <row r="28" spans="1:6" x14ac:dyDescent="0.25">
      <c r="A28" s="22" t="s">
        <v>63</v>
      </c>
      <c r="B28" s="8">
        <v>0</v>
      </c>
      <c r="C28" s="9">
        <f>C29</f>
        <v>4</v>
      </c>
      <c r="D28" s="9">
        <v>4</v>
      </c>
      <c r="E28" s="9">
        <f t="shared" si="1"/>
        <v>4</v>
      </c>
      <c r="F28" s="9">
        <f t="shared" si="1"/>
        <v>4</v>
      </c>
    </row>
    <row r="29" spans="1:6" x14ac:dyDescent="0.25">
      <c r="A29" s="13" t="s">
        <v>64</v>
      </c>
      <c r="B29" s="9">
        <v>0</v>
      </c>
      <c r="C29" s="9">
        <v>4</v>
      </c>
      <c r="D29" s="9">
        <v>4</v>
      </c>
      <c r="E29" s="9">
        <f t="shared" si="1"/>
        <v>4</v>
      </c>
      <c r="F29" s="9">
        <f t="shared" si="1"/>
        <v>4</v>
      </c>
    </row>
    <row r="30" spans="1:6" ht="33" customHeight="1" x14ac:dyDescent="0.25">
      <c r="A30" s="22" t="s">
        <v>59</v>
      </c>
      <c r="B30" s="8"/>
      <c r="C30" s="9">
        <v>437986</v>
      </c>
      <c r="D30" s="9">
        <v>244729.19</v>
      </c>
      <c r="E30" s="9">
        <f t="shared" si="1"/>
        <v>244729.19</v>
      </c>
      <c r="F30" s="9">
        <f t="shared" si="1"/>
        <v>244729.19</v>
      </c>
    </row>
    <row r="31" spans="1:6" x14ac:dyDescent="0.25">
      <c r="A31" s="22" t="s">
        <v>57</v>
      </c>
      <c r="B31" s="8">
        <f>B32</f>
        <v>743444.17015064042</v>
      </c>
      <c r="C31" s="9">
        <f>C32</f>
        <v>1078139.78</v>
      </c>
      <c r="D31" s="9">
        <f>D32</f>
        <v>440813.32</v>
      </c>
      <c r="E31" s="9">
        <f t="shared" si="1"/>
        <v>440813.32</v>
      </c>
      <c r="F31" s="9">
        <f t="shared" si="1"/>
        <v>440813.32</v>
      </c>
    </row>
    <row r="32" spans="1:6" x14ac:dyDescent="0.25">
      <c r="A32" s="59" t="s">
        <v>58</v>
      </c>
      <c r="B32" s="8">
        <f>(6983638.13/7.5345)-B26</f>
        <v>743444.17015064042</v>
      </c>
      <c r="C32" s="58">
        <f>C24-C25-C28-C30</f>
        <v>1078139.78</v>
      </c>
      <c r="D32" s="58">
        <f>D10-D25-D28-D30</f>
        <v>440813.32</v>
      </c>
      <c r="E32" s="9">
        <f t="shared" si="1"/>
        <v>440813.32</v>
      </c>
      <c r="F32" s="9">
        <f t="shared" si="1"/>
        <v>440813.32</v>
      </c>
    </row>
  </sheetData>
  <mergeCells count="5">
    <mergeCell ref="A1:F1"/>
    <mergeCell ref="A3:F3"/>
    <mergeCell ref="A5:F5"/>
    <mergeCell ref="A7:F7"/>
    <mergeCell ref="A21:F21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"/>
  <sheetViews>
    <sheetView workbookViewId="0">
      <selection activeCell="F18" sqref="F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1" t="s">
        <v>35</v>
      </c>
      <c r="B1" s="81"/>
      <c r="C1" s="81"/>
      <c r="D1" s="81"/>
      <c r="E1" s="81"/>
      <c r="F1" s="8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1" t="s">
        <v>20</v>
      </c>
      <c r="B3" s="81"/>
      <c r="C3" s="81"/>
      <c r="D3" s="81"/>
      <c r="E3" s="94"/>
      <c r="F3" s="94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1" t="s">
        <v>4</v>
      </c>
      <c r="B5" s="82"/>
      <c r="C5" s="82"/>
      <c r="D5" s="82"/>
      <c r="E5" s="82"/>
      <c r="F5" s="82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1" t="s">
        <v>14</v>
      </c>
      <c r="B7" s="101"/>
      <c r="C7" s="101"/>
      <c r="D7" s="101"/>
      <c r="E7" s="101"/>
      <c r="F7" s="101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8" t="s">
        <v>56</v>
      </c>
      <c r="B9" s="17" t="s">
        <v>38</v>
      </c>
      <c r="C9" s="18" t="s">
        <v>39</v>
      </c>
      <c r="D9" s="18" t="s">
        <v>36</v>
      </c>
      <c r="E9" s="18" t="s">
        <v>28</v>
      </c>
      <c r="F9" s="18" t="s">
        <v>37</v>
      </c>
    </row>
    <row r="10" spans="1:6" ht="15.75" customHeight="1" x14ac:dyDescent="0.25">
      <c r="A10" s="11" t="s">
        <v>15</v>
      </c>
      <c r="B10" s="8">
        <f>B11</f>
        <v>929535.8855929391</v>
      </c>
      <c r="C10" s="9">
        <f>C12</f>
        <v>1805996.45</v>
      </c>
      <c r="D10" s="9">
        <f>D11</f>
        <v>975413.17999999993</v>
      </c>
      <c r="E10" s="9">
        <f>D10</f>
        <v>975413.17999999993</v>
      </c>
      <c r="F10" s="9">
        <f>E10</f>
        <v>975413.17999999993</v>
      </c>
    </row>
    <row r="11" spans="1:6" x14ac:dyDescent="0.25">
      <c r="A11" s="11" t="s">
        <v>16</v>
      </c>
      <c r="B11" s="8">
        <f>B12</f>
        <v>929535.8855929391</v>
      </c>
      <c r="C11" s="9">
        <f>C12</f>
        <v>1805996.45</v>
      </c>
      <c r="D11" s="9">
        <f>D12</f>
        <v>975413.17999999993</v>
      </c>
      <c r="E11" s="9">
        <f t="shared" ref="E11:F12" si="0">D11</f>
        <v>975413.17999999993</v>
      </c>
      <c r="F11" s="9">
        <f t="shared" si="0"/>
        <v>975413.17999999993</v>
      </c>
    </row>
    <row r="12" spans="1:6" x14ac:dyDescent="0.25">
      <c r="A12" s="16" t="s">
        <v>84</v>
      </c>
      <c r="B12" s="8">
        <f>'[1]RAS-funkcijski'!$E$61/7.5345</f>
        <v>929535.8855929391</v>
      </c>
      <c r="C12" s="9">
        <f>'Prihodi i rashodi po izvorima'!C10</f>
        <v>1805996.45</v>
      </c>
      <c r="D12" s="9">
        <f>'Prihodi i rashodi po izvorima'!D24</f>
        <v>975413.17999999993</v>
      </c>
      <c r="E12" s="9">
        <f t="shared" si="0"/>
        <v>975413.17999999993</v>
      </c>
      <c r="F12" s="9">
        <f t="shared" si="0"/>
        <v>975413.17999999993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workbookViewId="0">
      <selection activeCell="D25" sqref="D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1" t="s">
        <v>35</v>
      </c>
      <c r="B1" s="81"/>
      <c r="C1" s="81"/>
      <c r="D1" s="81"/>
      <c r="E1" s="81"/>
      <c r="F1" s="81"/>
      <c r="G1" s="81"/>
      <c r="H1" s="81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1" t="s">
        <v>20</v>
      </c>
      <c r="B3" s="81"/>
      <c r="C3" s="81"/>
      <c r="D3" s="81"/>
      <c r="E3" s="81"/>
      <c r="F3" s="81"/>
      <c r="G3" s="81"/>
      <c r="H3" s="81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1" t="s">
        <v>65</v>
      </c>
      <c r="B5" s="81"/>
      <c r="C5" s="81"/>
      <c r="D5" s="81"/>
      <c r="E5" s="81"/>
      <c r="F5" s="81"/>
      <c r="G5" s="81"/>
      <c r="H5" s="81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8" t="s">
        <v>5</v>
      </c>
      <c r="B7" s="17" t="s">
        <v>6</v>
      </c>
      <c r="C7" s="17" t="s">
        <v>34</v>
      </c>
      <c r="D7" s="17" t="s">
        <v>38</v>
      </c>
      <c r="E7" s="18" t="s">
        <v>39</v>
      </c>
      <c r="F7" s="18" t="s">
        <v>36</v>
      </c>
      <c r="G7" s="18" t="s">
        <v>28</v>
      </c>
      <c r="H7" s="18" t="s">
        <v>37</v>
      </c>
    </row>
    <row r="8" spans="1:8" x14ac:dyDescent="0.25">
      <c r="A8" s="34"/>
      <c r="B8" s="35"/>
      <c r="C8" s="33" t="s">
        <v>67</v>
      </c>
      <c r="D8" s="66">
        <v>0</v>
      </c>
      <c r="E8" s="64">
        <v>0</v>
      </c>
      <c r="F8" s="64">
        <v>0</v>
      </c>
      <c r="G8" s="64">
        <v>0</v>
      </c>
      <c r="H8" s="64">
        <v>0</v>
      </c>
    </row>
    <row r="9" spans="1:8" ht="25.5" x14ac:dyDescent="0.25">
      <c r="A9" s="11">
        <v>8</v>
      </c>
      <c r="B9" s="11"/>
      <c r="C9" s="11" t="s">
        <v>17</v>
      </c>
      <c r="D9" s="8">
        <v>0</v>
      </c>
      <c r="E9" s="9">
        <v>0</v>
      </c>
      <c r="F9" s="9">
        <v>0</v>
      </c>
      <c r="G9" s="9">
        <v>0</v>
      </c>
      <c r="H9" s="9">
        <v>0</v>
      </c>
    </row>
    <row r="10" spans="1:8" x14ac:dyDescent="0.25">
      <c r="A10" s="11"/>
      <c r="B10" s="15">
        <v>84</v>
      </c>
      <c r="C10" s="15" t="s">
        <v>24</v>
      </c>
      <c r="D10" s="8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5">
      <c r="A11" s="11"/>
      <c r="B11" s="15"/>
      <c r="C11" s="37"/>
      <c r="D11" s="8">
        <v>0</v>
      </c>
      <c r="E11" s="9">
        <v>0</v>
      </c>
      <c r="F11" s="9">
        <v>0</v>
      </c>
      <c r="G11" s="9">
        <v>0</v>
      </c>
      <c r="H11" s="9">
        <v>0</v>
      </c>
    </row>
    <row r="12" spans="1:8" x14ac:dyDescent="0.25">
      <c r="A12" s="11"/>
      <c r="B12" s="15"/>
      <c r="C12" s="33" t="s">
        <v>70</v>
      </c>
      <c r="D12" s="8">
        <v>0</v>
      </c>
      <c r="E12" s="9">
        <v>0</v>
      </c>
      <c r="F12" s="9">
        <v>0</v>
      </c>
      <c r="G12" s="9">
        <v>0</v>
      </c>
      <c r="H12" s="9">
        <v>0</v>
      </c>
    </row>
    <row r="13" spans="1:8" ht="25.5" x14ac:dyDescent="0.25">
      <c r="A13" s="14">
        <v>5</v>
      </c>
      <c r="B13" s="14"/>
      <c r="C13" s="22" t="s">
        <v>18</v>
      </c>
      <c r="D13" s="8">
        <v>0</v>
      </c>
      <c r="E13" s="9">
        <v>0</v>
      </c>
      <c r="F13" s="9">
        <v>0</v>
      </c>
      <c r="G13" s="9">
        <v>0</v>
      </c>
      <c r="H13" s="9">
        <v>0</v>
      </c>
    </row>
    <row r="14" spans="1:8" ht="25.5" x14ac:dyDescent="0.25">
      <c r="A14" s="15"/>
      <c r="B14" s="15">
        <v>54</v>
      </c>
      <c r="C14" s="23" t="s">
        <v>25</v>
      </c>
      <c r="D14" s="8">
        <v>0</v>
      </c>
      <c r="E14" s="9">
        <v>0</v>
      </c>
      <c r="F14" s="9">
        <v>0</v>
      </c>
      <c r="G14" s="9">
        <v>0</v>
      </c>
      <c r="H14" s="10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6"/>
  <sheetViews>
    <sheetView topLeftCell="A4"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1" t="s">
        <v>35</v>
      </c>
      <c r="B1" s="81"/>
      <c r="C1" s="81"/>
      <c r="D1" s="81"/>
      <c r="E1" s="81"/>
      <c r="F1" s="81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81" t="s">
        <v>20</v>
      </c>
      <c r="B3" s="81"/>
      <c r="C3" s="81"/>
      <c r="D3" s="81"/>
      <c r="E3" s="81"/>
      <c r="F3" s="81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1" t="s">
        <v>66</v>
      </c>
      <c r="B5" s="81"/>
      <c r="C5" s="81"/>
      <c r="D5" s="81"/>
      <c r="E5" s="81"/>
      <c r="F5" s="81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7" t="s">
        <v>56</v>
      </c>
      <c r="B7" s="17" t="s">
        <v>38</v>
      </c>
      <c r="C7" s="18" t="s">
        <v>39</v>
      </c>
      <c r="D7" s="18" t="s">
        <v>36</v>
      </c>
      <c r="E7" s="18" t="s">
        <v>28</v>
      </c>
      <c r="F7" s="18" t="s">
        <v>37</v>
      </c>
    </row>
    <row r="8" spans="1:6" x14ac:dyDescent="0.25">
      <c r="A8" s="11" t="s">
        <v>67</v>
      </c>
      <c r="B8" s="8"/>
      <c r="C8" s="9"/>
      <c r="D8" s="9"/>
      <c r="E8" s="9"/>
      <c r="F8" s="9"/>
    </row>
    <row r="9" spans="1:6" ht="25.5" x14ac:dyDescent="0.25">
      <c r="A9" s="11" t="s">
        <v>68</v>
      </c>
      <c r="B9" s="8"/>
      <c r="C9" s="9"/>
      <c r="D9" s="9"/>
      <c r="E9" s="9"/>
      <c r="F9" s="9"/>
    </row>
    <row r="10" spans="1:6" ht="25.5" x14ac:dyDescent="0.25">
      <c r="A10" s="16" t="s">
        <v>69</v>
      </c>
      <c r="B10" s="8"/>
      <c r="C10" s="9"/>
      <c r="D10" s="9"/>
      <c r="E10" s="9"/>
      <c r="F10" s="9"/>
    </row>
    <row r="11" spans="1:6" x14ac:dyDescent="0.25">
      <c r="A11" s="16"/>
      <c r="B11" s="8"/>
      <c r="C11" s="9"/>
      <c r="D11" s="9"/>
      <c r="E11" s="9"/>
      <c r="F11" s="9"/>
    </row>
    <row r="12" spans="1:6" x14ac:dyDescent="0.25">
      <c r="A12" s="11" t="s">
        <v>70</v>
      </c>
      <c r="B12" s="8"/>
      <c r="C12" s="9"/>
      <c r="D12" s="9"/>
      <c r="E12" s="9"/>
      <c r="F12" s="9"/>
    </row>
    <row r="13" spans="1:6" x14ac:dyDescent="0.25">
      <c r="A13" s="22" t="s">
        <v>61</v>
      </c>
      <c r="B13" s="8"/>
      <c r="C13" s="9"/>
      <c r="D13" s="9"/>
      <c r="E13" s="9"/>
      <c r="F13" s="9"/>
    </row>
    <row r="14" spans="1:6" x14ac:dyDescent="0.25">
      <c r="A14" s="13" t="s">
        <v>62</v>
      </c>
      <c r="B14" s="8"/>
      <c r="C14" s="9"/>
      <c r="D14" s="9"/>
      <c r="E14" s="9"/>
      <c r="F14" s="10"/>
    </row>
    <row r="15" spans="1:6" x14ac:dyDescent="0.25">
      <c r="A15" s="22" t="s">
        <v>63</v>
      </c>
      <c r="B15" s="8"/>
      <c r="C15" s="9"/>
      <c r="D15" s="9"/>
      <c r="E15" s="9"/>
      <c r="F15" s="10"/>
    </row>
    <row r="16" spans="1:6" x14ac:dyDescent="0.25">
      <c r="A16" s="13" t="s">
        <v>64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4"/>
  <sheetViews>
    <sheetView workbookViewId="0">
      <selection activeCell="I6" sqref="I6:I5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  <col min="14" max="14" width="10.85546875" bestFit="1" customWidth="1"/>
  </cols>
  <sheetData>
    <row r="1" spans="1:14" ht="42" customHeight="1" x14ac:dyDescent="0.25">
      <c r="A1" s="81" t="s">
        <v>35</v>
      </c>
      <c r="B1" s="81"/>
      <c r="C1" s="81"/>
      <c r="D1" s="81"/>
      <c r="E1" s="81"/>
      <c r="F1" s="81"/>
      <c r="G1" s="81"/>
      <c r="H1" s="81"/>
      <c r="I1" s="81"/>
    </row>
    <row r="2" spans="1:14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14" ht="18" customHeight="1" x14ac:dyDescent="0.25">
      <c r="A3" s="81" t="s">
        <v>19</v>
      </c>
      <c r="B3" s="82"/>
      <c r="C3" s="82"/>
      <c r="D3" s="82"/>
      <c r="E3" s="82"/>
      <c r="F3" s="82"/>
      <c r="G3" s="82"/>
      <c r="H3" s="82"/>
      <c r="I3" s="82"/>
    </row>
    <row r="4" spans="1:14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4" ht="25.5" x14ac:dyDescent="0.25">
      <c r="A5" s="117" t="s">
        <v>21</v>
      </c>
      <c r="B5" s="118"/>
      <c r="C5" s="119"/>
      <c r="D5" s="17" t="s">
        <v>22</v>
      </c>
      <c r="E5" s="17" t="s">
        <v>38</v>
      </c>
      <c r="F5" s="18" t="s">
        <v>39</v>
      </c>
      <c r="G5" s="18" t="s">
        <v>36</v>
      </c>
      <c r="H5" s="18" t="s">
        <v>28</v>
      </c>
      <c r="I5" s="18" t="s">
        <v>37</v>
      </c>
    </row>
    <row r="6" spans="1:14" ht="25.5" x14ac:dyDescent="0.25">
      <c r="A6" s="114" t="s">
        <v>87</v>
      </c>
      <c r="B6" s="115"/>
      <c r="C6" s="116"/>
      <c r="D6" s="69" t="s">
        <v>88</v>
      </c>
      <c r="E6" s="9">
        <f t="shared" ref="E6:F6" si="0">E7+E33+E46</f>
        <v>929535.79089521535</v>
      </c>
      <c r="F6" s="9">
        <f t="shared" si="0"/>
        <v>1860002</v>
      </c>
      <c r="G6" s="9">
        <f>G7+G33+G46</f>
        <v>975413.18</v>
      </c>
      <c r="H6" s="9">
        <f>G6</f>
        <v>975413.18</v>
      </c>
      <c r="I6" s="9">
        <f>H6</f>
        <v>975413.18</v>
      </c>
    </row>
    <row r="7" spans="1:14" ht="25.5" x14ac:dyDescent="0.25">
      <c r="A7" s="105" t="s">
        <v>89</v>
      </c>
      <c r="B7" s="106"/>
      <c r="C7" s="107"/>
      <c r="D7" s="70" t="s">
        <v>90</v>
      </c>
      <c r="E7" s="9">
        <f>E8+E15+E19+E27+E31</f>
        <v>929535.79089521535</v>
      </c>
      <c r="F7" s="9">
        <f>F8+F15+F19+F27+F31</f>
        <v>1860002</v>
      </c>
      <c r="G7" s="9">
        <f>G8+G15+G19+G27+G31</f>
        <v>844577.25</v>
      </c>
      <c r="H7" s="9">
        <f t="shared" ref="H7:I54" si="1">G7</f>
        <v>844577.25</v>
      </c>
      <c r="I7" s="9">
        <f t="shared" si="1"/>
        <v>844577.25</v>
      </c>
    </row>
    <row r="8" spans="1:14" x14ac:dyDescent="0.25">
      <c r="A8" s="108" t="s">
        <v>91</v>
      </c>
      <c r="B8" s="109"/>
      <c r="C8" s="110"/>
      <c r="D8" s="71" t="s">
        <v>92</v>
      </c>
      <c r="E8" s="8">
        <f>E9</f>
        <v>183443.93523126948</v>
      </c>
      <c r="F8" s="9">
        <f>F9+F13</f>
        <v>227723</v>
      </c>
      <c r="G8" s="9">
        <f>G9</f>
        <v>239850.06</v>
      </c>
      <c r="H8" s="9">
        <f t="shared" si="1"/>
        <v>239850.06</v>
      </c>
      <c r="I8" s="9">
        <f t="shared" si="1"/>
        <v>239850.06</v>
      </c>
    </row>
    <row r="9" spans="1:14" x14ac:dyDescent="0.25">
      <c r="A9" s="102">
        <v>3</v>
      </c>
      <c r="B9" s="103"/>
      <c r="C9" s="104"/>
      <c r="D9" s="72" t="s">
        <v>10</v>
      </c>
      <c r="E9" s="8">
        <f>E10+E11+E12</f>
        <v>183443.93523126948</v>
      </c>
      <c r="F9" s="8">
        <f>SUM(F10:F12)</f>
        <v>201178</v>
      </c>
      <c r="G9" s="8">
        <v>239850.06</v>
      </c>
      <c r="H9" s="9">
        <f t="shared" si="1"/>
        <v>239850.06</v>
      </c>
      <c r="I9" s="9">
        <f t="shared" si="1"/>
        <v>239850.06</v>
      </c>
    </row>
    <row r="10" spans="1:14" x14ac:dyDescent="0.25">
      <c r="A10" s="111">
        <v>31</v>
      </c>
      <c r="B10" s="112"/>
      <c r="C10" s="113"/>
      <c r="D10" s="72" t="s">
        <v>11</v>
      </c>
      <c r="E10" s="8">
        <f>1002953.48/7.5345</f>
        <v>133114.80257482248</v>
      </c>
      <c r="F10" s="8">
        <v>158770</v>
      </c>
      <c r="G10" s="8">
        <f>116819.08+8550.58</f>
        <v>125369.66</v>
      </c>
      <c r="H10" s="9">
        <f t="shared" si="1"/>
        <v>125369.66</v>
      </c>
      <c r="I10" s="9">
        <f t="shared" si="1"/>
        <v>125369.66</v>
      </c>
    </row>
    <row r="11" spans="1:14" x14ac:dyDescent="0.25">
      <c r="A11" s="111">
        <v>32</v>
      </c>
      <c r="B11" s="112"/>
      <c r="C11" s="113"/>
      <c r="D11" s="72" t="s">
        <v>23</v>
      </c>
      <c r="E11" s="8">
        <f>374389.96/7.5345</f>
        <v>49690.08693343951</v>
      </c>
      <c r="F11" s="9">
        <v>41744</v>
      </c>
      <c r="G11" s="9">
        <f>G9-G10-G12</f>
        <v>112634.4</v>
      </c>
      <c r="H11" s="9">
        <f t="shared" si="1"/>
        <v>112634.4</v>
      </c>
      <c r="I11" s="9">
        <f t="shared" si="1"/>
        <v>112634.4</v>
      </c>
    </row>
    <row r="12" spans="1:14" x14ac:dyDescent="0.25">
      <c r="A12" s="73">
        <v>34</v>
      </c>
      <c r="B12" s="74"/>
      <c r="C12" s="75"/>
      <c r="D12" s="72" t="s">
        <v>83</v>
      </c>
      <c r="E12" s="8">
        <f>4814.89/7.5345</f>
        <v>639.04572300749885</v>
      </c>
      <c r="F12" s="9">
        <v>664</v>
      </c>
      <c r="G12" s="9">
        <v>1846</v>
      </c>
      <c r="H12" s="9">
        <f t="shared" si="1"/>
        <v>1846</v>
      </c>
      <c r="I12" s="9">
        <f t="shared" si="1"/>
        <v>1846</v>
      </c>
      <c r="N12" s="63"/>
    </row>
    <row r="13" spans="1:14" ht="25.5" x14ac:dyDescent="0.25">
      <c r="A13" s="73">
        <v>4</v>
      </c>
      <c r="B13" s="74"/>
      <c r="C13" s="75"/>
      <c r="D13" s="72" t="s">
        <v>12</v>
      </c>
      <c r="E13" s="8"/>
      <c r="F13" s="9">
        <f>F14</f>
        <v>26545</v>
      </c>
      <c r="G13" s="9"/>
      <c r="H13" s="9">
        <f t="shared" si="1"/>
        <v>0</v>
      </c>
      <c r="I13" s="9">
        <f t="shared" si="1"/>
        <v>0</v>
      </c>
    </row>
    <row r="14" spans="1:14" ht="25.5" x14ac:dyDescent="0.25">
      <c r="A14" s="73">
        <v>42</v>
      </c>
      <c r="B14" s="74"/>
      <c r="C14" s="75"/>
      <c r="D14" s="72" t="s">
        <v>33</v>
      </c>
      <c r="E14" s="59"/>
      <c r="F14" s="9">
        <v>26545</v>
      </c>
      <c r="G14" s="9"/>
      <c r="H14" s="9">
        <f t="shared" si="1"/>
        <v>0</v>
      </c>
      <c r="I14" s="9">
        <f t="shared" si="1"/>
        <v>0</v>
      </c>
    </row>
    <row r="15" spans="1:14" ht="15" customHeight="1" x14ac:dyDescent="0.25">
      <c r="A15" s="108" t="s">
        <v>104</v>
      </c>
      <c r="B15" s="109"/>
      <c r="C15" s="110"/>
      <c r="D15" s="71" t="s">
        <v>93</v>
      </c>
      <c r="E15" s="59"/>
      <c r="F15" s="9">
        <f>F16</f>
        <v>437986</v>
      </c>
      <c r="G15" s="9">
        <f>G16</f>
        <v>244723.19</v>
      </c>
      <c r="H15" s="9">
        <f t="shared" si="1"/>
        <v>244723.19</v>
      </c>
      <c r="I15" s="9">
        <f t="shared" si="1"/>
        <v>244723.19</v>
      </c>
    </row>
    <row r="16" spans="1:14" x14ac:dyDescent="0.25">
      <c r="A16" s="102">
        <v>3</v>
      </c>
      <c r="B16" s="103"/>
      <c r="C16" s="104"/>
      <c r="D16" s="72" t="s">
        <v>10</v>
      </c>
      <c r="E16" s="59">
        <f>'Prihodi i rashodi po izvorima'!B30</f>
        <v>0</v>
      </c>
      <c r="F16" s="8">
        <f>'Prihodi i rashodi po izvorima'!C30</f>
        <v>437986</v>
      </c>
      <c r="G16" s="8">
        <v>244723.19</v>
      </c>
      <c r="H16" s="9">
        <f t="shared" si="1"/>
        <v>244723.19</v>
      </c>
      <c r="I16" s="9">
        <f t="shared" si="1"/>
        <v>244723.19</v>
      </c>
    </row>
    <row r="17" spans="1:13" x14ac:dyDescent="0.25">
      <c r="A17" s="111">
        <v>31</v>
      </c>
      <c r="B17" s="112"/>
      <c r="C17" s="113"/>
      <c r="D17" s="72" t="s">
        <v>11</v>
      </c>
      <c r="E17" s="59"/>
      <c r="F17" s="9">
        <v>0</v>
      </c>
      <c r="G17" s="9">
        <f>181636.85+3364.81</f>
        <v>185001.66</v>
      </c>
      <c r="H17" s="9">
        <f t="shared" si="1"/>
        <v>185001.66</v>
      </c>
      <c r="I17" s="9">
        <f t="shared" si="1"/>
        <v>185001.66</v>
      </c>
    </row>
    <row r="18" spans="1:13" x14ac:dyDescent="0.25">
      <c r="A18" s="111">
        <v>32</v>
      </c>
      <c r="B18" s="112"/>
      <c r="C18" s="113"/>
      <c r="D18" s="72" t="s">
        <v>23</v>
      </c>
      <c r="E18" s="59"/>
      <c r="F18" s="58">
        <f>F16</f>
        <v>437986</v>
      </c>
      <c r="G18" s="58">
        <f>G16-G17</f>
        <v>59721.53</v>
      </c>
      <c r="H18" s="9">
        <f t="shared" si="1"/>
        <v>59721.53</v>
      </c>
      <c r="I18" s="9">
        <f t="shared" si="1"/>
        <v>59721.53</v>
      </c>
    </row>
    <row r="19" spans="1:13" x14ac:dyDescent="0.25">
      <c r="A19" s="108" t="s">
        <v>94</v>
      </c>
      <c r="B19" s="109"/>
      <c r="C19" s="110"/>
      <c r="D19" s="71" t="s">
        <v>95</v>
      </c>
      <c r="E19" s="76">
        <f>E20+E24</f>
        <v>746091.8556639459</v>
      </c>
      <c r="F19" s="59">
        <f>F20+F24</f>
        <v>1194289</v>
      </c>
      <c r="G19" s="59">
        <f>G20</f>
        <v>357000</v>
      </c>
      <c r="H19" s="9">
        <f t="shared" si="1"/>
        <v>357000</v>
      </c>
      <c r="I19" s="9">
        <f t="shared" si="1"/>
        <v>357000</v>
      </c>
    </row>
    <row r="20" spans="1:13" x14ac:dyDescent="0.25">
      <c r="A20" s="102">
        <v>3</v>
      </c>
      <c r="B20" s="103"/>
      <c r="C20" s="104"/>
      <c r="D20" s="72" t="s">
        <v>10</v>
      </c>
      <c r="E20" s="76">
        <f>E21+E22+E23+46860+46860</f>
        <v>738931.46014997677</v>
      </c>
      <c r="F20" s="59">
        <f>F21+F22+F23+46860+46860</f>
        <v>1094467</v>
      </c>
      <c r="G20" s="59">
        <f>G21</f>
        <v>357000</v>
      </c>
      <c r="H20" s="9">
        <f t="shared" si="1"/>
        <v>357000</v>
      </c>
      <c r="I20" s="9">
        <f t="shared" si="1"/>
        <v>357000</v>
      </c>
    </row>
    <row r="21" spans="1:13" x14ac:dyDescent="0.25">
      <c r="A21" s="111">
        <v>31</v>
      </c>
      <c r="B21" s="112"/>
      <c r="C21" s="113"/>
      <c r="D21" s="72" t="s">
        <v>11</v>
      </c>
      <c r="E21" s="76">
        <f>(3596865.89/7.5345)+(15497.88/7.5345)</f>
        <v>479443.06456964632</v>
      </c>
      <c r="F21" s="59">
        <v>701886</v>
      </c>
      <c r="G21" s="59">
        <f>357000</f>
        <v>357000</v>
      </c>
      <c r="H21" s="9">
        <f t="shared" si="1"/>
        <v>357000</v>
      </c>
      <c r="I21" s="9">
        <f t="shared" si="1"/>
        <v>357000</v>
      </c>
    </row>
    <row r="22" spans="1:13" x14ac:dyDescent="0.25">
      <c r="A22" s="73">
        <v>32</v>
      </c>
      <c r="B22" s="74"/>
      <c r="C22" s="75"/>
      <c r="D22" s="72" t="s">
        <v>23</v>
      </c>
      <c r="E22" s="76">
        <f>(665328.66/7.5345)+76657</f>
        <v>164961.28827393986</v>
      </c>
      <c r="F22" s="59">
        <f>228769+6636+26340+26340+8785</f>
        <v>296870</v>
      </c>
      <c r="G22" s="59"/>
      <c r="H22" s="9">
        <f t="shared" si="1"/>
        <v>0</v>
      </c>
      <c r="I22" s="9">
        <f t="shared" si="1"/>
        <v>0</v>
      </c>
    </row>
    <row r="23" spans="1:13" x14ac:dyDescent="0.25">
      <c r="A23" s="73">
        <v>34</v>
      </c>
      <c r="B23" s="74"/>
      <c r="C23" s="75"/>
      <c r="D23" s="72" t="s">
        <v>83</v>
      </c>
      <c r="E23" s="76">
        <f>6081.15/7.5345</f>
        <v>807.10730639060318</v>
      </c>
      <c r="F23" s="59">
        <v>1991</v>
      </c>
      <c r="G23" s="59"/>
      <c r="H23" s="9">
        <f t="shared" si="1"/>
        <v>0</v>
      </c>
      <c r="I23" s="9">
        <f t="shared" si="1"/>
        <v>0</v>
      </c>
    </row>
    <row r="24" spans="1:13" ht="23.25" customHeight="1" x14ac:dyDescent="0.25">
      <c r="A24" s="73">
        <v>4</v>
      </c>
      <c r="B24" s="74"/>
      <c r="C24" s="75"/>
      <c r="D24" s="72" t="str">
        <f>D13</f>
        <v>Rashodi za nabavu nefinancijske imovine</v>
      </c>
      <c r="E24" s="76">
        <f>E25+E26</f>
        <v>7160.3955139690752</v>
      </c>
      <c r="F24" s="59">
        <f>F25+F26</f>
        <v>99822</v>
      </c>
      <c r="G24" s="59"/>
      <c r="H24" s="9">
        <f t="shared" si="1"/>
        <v>0</v>
      </c>
      <c r="I24" s="9">
        <f t="shared" si="1"/>
        <v>0</v>
      </c>
    </row>
    <row r="25" spans="1:13" ht="23.25" customHeight="1" x14ac:dyDescent="0.25">
      <c r="A25" s="73">
        <v>41</v>
      </c>
      <c r="B25" s="74"/>
      <c r="C25" s="75"/>
      <c r="D25" s="72" t="s">
        <v>13</v>
      </c>
      <c r="E25" s="76">
        <f>34000/7.5345</f>
        <v>4512.5754860972856</v>
      </c>
      <c r="F25" s="59">
        <v>4513</v>
      </c>
      <c r="G25" s="59"/>
      <c r="H25" s="9">
        <f t="shared" si="1"/>
        <v>0</v>
      </c>
      <c r="I25" s="9">
        <f t="shared" si="1"/>
        <v>0</v>
      </c>
    </row>
    <row r="26" spans="1:13" ht="27.75" customHeight="1" x14ac:dyDescent="0.25">
      <c r="A26" s="73">
        <v>42</v>
      </c>
      <c r="B26" s="74"/>
      <c r="C26" s="75"/>
      <c r="D26" s="72" t="str">
        <f>D14</f>
        <v>Rashodi za nabavu proizvedene dugotrajne imovine</v>
      </c>
      <c r="E26" s="76">
        <f>19950/7.5345</f>
        <v>2647.8200278717895</v>
      </c>
      <c r="F26" s="59">
        <f>33844+61465</f>
        <v>95309</v>
      </c>
      <c r="G26" s="59"/>
      <c r="H26" s="9">
        <f t="shared" si="1"/>
        <v>0</v>
      </c>
      <c r="I26" s="9">
        <f t="shared" si="1"/>
        <v>0</v>
      </c>
    </row>
    <row r="27" spans="1:13" x14ac:dyDescent="0.25">
      <c r="A27" s="108" t="s">
        <v>96</v>
      </c>
      <c r="B27" s="109"/>
      <c r="C27" s="110"/>
      <c r="D27" s="71" t="s">
        <v>97</v>
      </c>
      <c r="E27" s="76"/>
      <c r="F27" s="59"/>
      <c r="G27" s="59">
        <v>3000</v>
      </c>
      <c r="H27" s="9">
        <f t="shared" si="1"/>
        <v>3000</v>
      </c>
      <c r="I27" s="9">
        <f t="shared" si="1"/>
        <v>3000</v>
      </c>
      <c r="M27" s="63"/>
    </row>
    <row r="28" spans="1:13" x14ac:dyDescent="0.25">
      <c r="A28" s="102">
        <v>3</v>
      </c>
      <c r="B28" s="103"/>
      <c r="C28" s="104"/>
      <c r="D28" s="72" t="s">
        <v>10</v>
      </c>
      <c r="E28" s="76"/>
      <c r="F28" s="59"/>
      <c r="G28" s="59">
        <v>3000</v>
      </c>
      <c r="H28" s="9">
        <f t="shared" si="1"/>
        <v>3000</v>
      </c>
      <c r="I28" s="9">
        <f t="shared" si="1"/>
        <v>3000</v>
      </c>
    </row>
    <row r="29" spans="1:13" x14ac:dyDescent="0.25">
      <c r="A29" s="111">
        <v>38</v>
      </c>
      <c r="B29" s="112"/>
      <c r="C29" s="113"/>
      <c r="D29" s="72" t="s">
        <v>97</v>
      </c>
      <c r="E29" s="76"/>
      <c r="F29" s="59"/>
      <c r="G29" s="59">
        <v>3000</v>
      </c>
      <c r="H29" s="9">
        <f t="shared" si="1"/>
        <v>3000</v>
      </c>
      <c r="I29" s="9">
        <f t="shared" si="1"/>
        <v>3000</v>
      </c>
    </row>
    <row r="30" spans="1:13" x14ac:dyDescent="0.25">
      <c r="A30" s="108" t="s">
        <v>98</v>
      </c>
      <c r="B30" s="109"/>
      <c r="C30" s="110"/>
      <c r="D30" s="72" t="s">
        <v>99</v>
      </c>
      <c r="E30" s="76"/>
      <c r="F30" s="59">
        <v>4</v>
      </c>
      <c r="G30" s="59">
        <v>4</v>
      </c>
      <c r="H30" s="9">
        <f t="shared" si="1"/>
        <v>4</v>
      </c>
      <c r="I30" s="9">
        <f t="shared" si="1"/>
        <v>4</v>
      </c>
    </row>
    <row r="31" spans="1:13" x14ac:dyDescent="0.25">
      <c r="A31" s="102">
        <v>3</v>
      </c>
      <c r="B31" s="103"/>
      <c r="C31" s="104"/>
      <c r="D31" s="72" t="s">
        <v>10</v>
      </c>
      <c r="E31" s="76"/>
      <c r="F31" s="59">
        <v>4</v>
      </c>
      <c r="G31" s="59">
        <v>4</v>
      </c>
      <c r="H31" s="9">
        <f t="shared" si="1"/>
        <v>4</v>
      </c>
      <c r="I31" s="9">
        <f t="shared" si="1"/>
        <v>4</v>
      </c>
    </row>
    <row r="32" spans="1:13" x14ac:dyDescent="0.25">
      <c r="A32" s="111">
        <v>32</v>
      </c>
      <c r="B32" s="112"/>
      <c r="C32" s="113"/>
      <c r="D32" s="72" t="s">
        <v>23</v>
      </c>
      <c r="E32" s="59"/>
      <c r="F32" s="59">
        <v>4</v>
      </c>
      <c r="G32" s="59">
        <v>4</v>
      </c>
      <c r="H32" s="9">
        <f t="shared" si="1"/>
        <v>4</v>
      </c>
      <c r="I32" s="9">
        <f t="shared" si="1"/>
        <v>4</v>
      </c>
    </row>
    <row r="33" spans="1:9" x14ac:dyDescent="0.25">
      <c r="A33" s="105" t="s">
        <v>100</v>
      </c>
      <c r="B33" s="106"/>
      <c r="C33" s="107"/>
      <c r="D33" s="70" t="s">
        <v>101</v>
      </c>
      <c r="E33" s="59"/>
      <c r="F33" s="9"/>
      <c r="G33" s="9">
        <f>G34+G41</f>
        <v>96930.9</v>
      </c>
      <c r="H33" s="9">
        <f t="shared" si="1"/>
        <v>96930.9</v>
      </c>
      <c r="I33" s="9">
        <f t="shared" si="1"/>
        <v>96930.9</v>
      </c>
    </row>
    <row r="34" spans="1:9" x14ac:dyDescent="0.25">
      <c r="A34" s="108" t="s">
        <v>91</v>
      </c>
      <c r="B34" s="109"/>
      <c r="C34" s="110"/>
      <c r="D34" s="71" t="s">
        <v>92</v>
      </c>
      <c r="E34" s="59"/>
      <c r="F34" s="9"/>
      <c r="G34" s="9">
        <f>G35</f>
        <v>38385.86</v>
      </c>
      <c r="H34" s="9">
        <f t="shared" si="1"/>
        <v>38385.86</v>
      </c>
      <c r="I34" s="9">
        <f t="shared" si="1"/>
        <v>38385.86</v>
      </c>
    </row>
    <row r="35" spans="1:9" x14ac:dyDescent="0.25">
      <c r="A35" s="102">
        <v>3</v>
      </c>
      <c r="B35" s="103"/>
      <c r="C35" s="104"/>
      <c r="D35" s="72" t="s">
        <v>10</v>
      </c>
      <c r="E35" s="59"/>
      <c r="F35" s="8"/>
      <c r="G35" s="8">
        <f>38385.86</f>
        <v>38385.86</v>
      </c>
      <c r="H35" s="9">
        <f t="shared" si="1"/>
        <v>38385.86</v>
      </c>
      <c r="I35" s="9">
        <f t="shared" si="1"/>
        <v>38385.86</v>
      </c>
    </row>
    <row r="36" spans="1:9" x14ac:dyDescent="0.25">
      <c r="A36" s="111">
        <v>31</v>
      </c>
      <c r="B36" s="112"/>
      <c r="C36" s="113"/>
      <c r="D36" s="72" t="s">
        <v>11</v>
      </c>
      <c r="E36" s="59"/>
      <c r="F36" s="8"/>
      <c r="G36" s="8">
        <f>22478.85+3709.01</f>
        <v>26187.86</v>
      </c>
      <c r="H36" s="9">
        <f t="shared" si="1"/>
        <v>26187.86</v>
      </c>
      <c r="I36" s="9">
        <f t="shared" si="1"/>
        <v>26187.86</v>
      </c>
    </row>
    <row r="37" spans="1:9" x14ac:dyDescent="0.25">
      <c r="A37" s="111">
        <v>32</v>
      </c>
      <c r="B37" s="112"/>
      <c r="C37" s="113"/>
      <c r="D37" s="72" t="s">
        <v>23</v>
      </c>
      <c r="E37" s="59"/>
      <c r="F37" s="9"/>
      <c r="G37" s="9">
        <f>G35-G36-G39</f>
        <v>12048</v>
      </c>
      <c r="H37" s="9">
        <f t="shared" si="1"/>
        <v>12048</v>
      </c>
      <c r="I37" s="9">
        <f t="shared" si="1"/>
        <v>12048</v>
      </c>
    </row>
    <row r="38" spans="1:9" ht="25.5" x14ac:dyDescent="0.25">
      <c r="A38" s="102">
        <v>4</v>
      </c>
      <c r="B38" s="103"/>
      <c r="C38" s="104"/>
      <c r="D38" s="72" t="s">
        <v>12</v>
      </c>
      <c r="E38" s="8"/>
      <c r="F38" s="9"/>
      <c r="G38" s="9">
        <v>150</v>
      </c>
      <c r="H38" s="9">
        <f t="shared" si="1"/>
        <v>150</v>
      </c>
      <c r="I38" s="9">
        <f t="shared" si="1"/>
        <v>150</v>
      </c>
    </row>
    <row r="39" spans="1:9" ht="25.5" x14ac:dyDescent="0.25">
      <c r="A39" s="111">
        <v>42</v>
      </c>
      <c r="B39" s="112"/>
      <c r="C39" s="113"/>
      <c r="D39" s="72" t="s">
        <v>33</v>
      </c>
      <c r="E39" s="8"/>
      <c r="F39" s="9"/>
      <c r="G39" s="9">
        <v>150</v>
      </c>
      <c r="H39" s="9">
        <f t="shared" si="1"/>
        <v>150</v>
      </c>
      <c r="I39" s="9">
        <f t="shared" si="1"/>
        <v>150</v>
      </c>
    </row>
    <row r="40" spans="1:9" x14ac:dyDescent="0.25">
      <c r="A40" s="108" t="s">
        <v>94</v>
      </c>
      <c r="B40" s="109"/>
      <c r="C40" s="110"/>
      <c r="D40" s="71" t="s">
        <v>95</v>
      </c>
      <c r="E40" s="59"/>
      <c r="F40" s="59"/>
      <c r="G40" s="9">
        <f>G41</f>
        <v>58545.04</v>
      </c>
      <c r="H40" s="9">
        <f t="shared" si="1"/>
        <v>58545.04</v>
      </c>
      <c r="I40" s="9">
        <f t="shared" si="1"/>
        <v>58545.04</v>
      </c>
    </row>
    <row r="41" spans="1:9" x14ac:dyDescent="0.25">
      <c r="A41" s="102">
        <v>3</v>
      </c>
      <c r="B41" s="103"/>
      <c r="C41" s="104"/>
      <c r="D41" s="72" t="s">
        <v>10</v>
      </c>
      <c r="E41" s="59"/>
      <c r="F41" s="59"/>
      <c r="G41" s="9">
        <f>29272.52*2</f>
        <v>58545.04</v>
      </c>
      <c r="H41" s="9">
        <f t="shared" si="1"/>
        <v>58545.04</v>
      </c>
      <c r="I41" s="9">
        <f t="shared" si="1"/>
        <v>58545.04</v>
      </c>
    </row>
    <row r="42" spans="1:9" x14ac:dyDescent="0.25">
      <c r="A42" s="111">
        <v>31</v>
      </c>
      <c r="B42" s="112"/>
      <c r="C42" s="113"/>
      <c r="D42" s="72" t="s">
        <v>11</v>
      </c>
      <c r="E42" s="59"/>
      <c r="F42" s="59"/>
      <c r="G42" s="8">
        <f>(17100.02+2821.5)*2</f>
        <v>39843.040000000001</v>
      </c>
      <c r="H42" s="9">
        <f t="shared" si="1"/>
        <v>39843.040000000001</v>
      </c>
      <c r="I42" s="9">
        <f t="shared" si="1"/>
        <v>39843.040000000001</v>
      </c>
    </row>
    <row r="43" spans="1:9" x14ac:dyDescent="0.25">
      <c r="A43" s="111">
        <v>32</v>
      </c>
      <c r="B43" s="112"/>
      <c r="C43" s="113"/>
      <c r="D43" s="72" t="s">
        <v>23</v>
      </c>
      <c r="E43" s="59"/>
      <c r="F43" s="59"/>
      <c r="G43" s="8">
        <f>G41-G42-G44</f>
        <v>18402</v>
      </c>
      <c r="H43" s="9">
        <f t="shared" si="1"/>
        <v>18402</v>
      </c>
      <c r="I43" s="9">
        <f t="shared" si="1"/>
        <v>18402</v>
      </c>
    </row>
    <row r="44" spans="1:9" ht="25.5" x14ac:dyDescent="0.25">
      <c r="A44" s="102">
        <v>4</v>
      </c>
      <c r="B44" s="103"/>
      <c r="C44" s="104"/>
      <c r="D44" s="72" t="s">
        <v>12</v>
      </c>
      <c r="E44" s="59"/>
      <c r="F44" s="59"/>
      <c r="G44" s="9">
        <f>G45</f>
        <v>300</v>
      </c>
      <c r="H44" s="9">
        <f t="shared" si="1"/>
        <v>300</v>
      </c>
      <c r="I44" s="9">
        <f t="shared" si="1"/>
        <v>300</v>
      </c>
    </row>
    <row r="45" spans="1:9" ht="25.5" x14ac:dyDescent="0.25">
      <c r="A45" s="111">
        <v>42</v>
      </c>
      <c r="B45" s="112"/>
      <c r="C45" s="113"/>
      <c r="D45" s="72" t="s">
        <v>33</v>
      </c>
      <c r="E45" s="59"/>
      <c r="F45" s="59"/>
      <c r="G45" s="9">
        <f>150*2</f>
        <v>300</v>
      </c>
      <c r="H45" s="9">
        <f t="shared" si="1"/>
        <v>300</v>
      </c>
      <c r="I45" s="9">
        <f t="shared" si="1"/>
        <v>300</v>
      </c>
    </row>
    <row r="46" spans="1:9" ht="25.5" x14ac:dyDescent="0.25">
      <c r="A46" s="105" t="s">
        <v>102</v>
      </c>
      <c r="B46" s="106"/>
      <c r="C46" s="107"/>
      <c r="D46" s="70" t="s">
        <v>103</v>
      </c>
      <c r="E46" s="8"/>
      <c r="F46" s="9"/>
      <c r="G46" s="9">
        <f>G47+G52</f>
        <v>33905.03</v>
      </c>
      <c r="H46" s="9">
        <f t="shared" si="1"/>
        <v>33905.03</v>
      </c>
      <c r="I46" s="9">
        <f t="shared" si="1"/>
        <v>33905.03</v>
      </c>
    </row>
    <row r="47" spans="1:9" x14ac:dyDescent="0.25">
      <c r="A47" s="108" t="s">
        <v>91</v>
      </c>
      <c r="B47" s="109"/>
      <c r="C47" s="110"/>
      <c r="D47" s="71" t="s">
        <v>92</v>
      </c>
      <c r="E47" s="8"/>
      <c r="F47" s="9"/>
      <c r="G47" s="8">
        <f>G48</f>
        <v>11630.75</v>
      </c>
      <c r="H47" s="9">
        <f t="shared" si="1"/>
        <v>11630.75</v>
      </c>
      <c r="I47" s="9">
        <f t="shared" si="1"/>
        <v>11630.75</v>
      </c>
    </row>
    <row r="48" spans="1:9" x14ac:dyDescent="0.25">
      <c r="A48" s="102">
        <v>3</v>
      </c>
      <c r="B48" s="103"/>
      <c r="C48" s="104"/>
      <c r="D48" s="72" t="s">
        <v>10</v>
      </c>
      <c r="E48" s="8">
        <f>'Prihodi i rashodi po izvorima'!B67</f>
        <v>0</v>
      </c>
      <c r="F48" s="8">
        <f>'Prihodi i rashodi po izvorima'!C67</f>
        <v>0</v>
      </c>
      <c r="G48" s="8">
        <f>11630.75</f>
        <v>11630.75</v>
      </c>
      <c r="H48" s="9">
        <f t="shared" si="1"/>
        <v>11630.75</v>
      </c>
      <c r="I48" s="9">
        <f t="shared" si="1"/>
        <v>11630.75</v>
      </c>
    </row>
    <row r="49" spans="1:9" x14ac:dyDescent="0.25">
      <c r="A49" s="111">
        <v>31</v>
      </c>
      <c r="B49" s="112"/>
      <c r="C49" s="113"/>
      <c r="D49" s="72" t="s">
        <v>11</v>
      </c>
      <c r="E49" s="8"/>
      <c r="F49" s="8"/>
      <c r="G49" s="9">
        <f>2859.02+471.74</f>
        <v>3330.76</v>
      </c>
      <c r="H49" s="9">
        <f t="shared" si="1"/>
        <v>3330.76</v>
      </c>
      <c r="I49" s="9">
        <f t="shared" si="1"/>
        <v>3330.76</v>
      </c>
    </row>
    <row r="50" spans="1:9" x14ac:dyDescent="0.25">
      <c r="A50" s="111">
        <v>32</v>
      </c>
      <c r="B50" s="112"/>
      <c r="C50" s="113"/>
      <c r="D50" s="72" t="s">
        <v>23</v>
      </c>
      <c r="E50" s="8"/>
      <c r="F50" s="9"/>
      <c r="G50" s="9">
        <f>G48-G49</f>
        <v>8299.99</v>
      </c>
      <c r="H50" s="9">
        <f t="shared" si="1"/>
        <v>8299.99</v>
      </c>
      <c r="I50" s="9">
        <f t="shared" si="1"/>
        <v>8299.99</v>
      </c>
    </row>
    <row r="51" spans="1:9" x14ac:dyDescent="0.25">
      <c r="A51" s="108" t="s">
        <v>94</v>
      </c>
      <c r="B51" s="109"/>
      <c r="C51" s="110"/>
      <c r="D51" s="71" t="s">
        <v>95</v>
      </c>
      <c r="E51" s="59"/>
      <c r="F51" s="59"/>
      <c r="G51" s="9">
        <f>G52</f>
        <v>22274.28</v>
      </c>
      <c r="H51" s="9">
        <f t="shared" si="1"/>
        <v>22274.28</v>
      </c>
      <c r="I51" s="9">
        <f t="shared" si="1"/>
        <v>22274.28</v>
      </c>
    </row>
    <row r="52" spans="1:9" x14ac:dyDescent="0.25">
      <c r="A52" s="102">
        <v>3</v>
      </c>
      <c r="B52" s="103"/>
      <c r="C52" s="104"/>
      <c r="D52" s="72" t="s">
        <v>10</v>
      </c>
      <c r="E52" s="59"/>
      <c r="F52" s="59"/>
      <c r="G52" s="8">
        <v>22274.28</v>
      </c>
      <c r="H52" s="9">
        <f t="shared" si="1"/>
        <v>22274.28</v>
      </c>
      <c r="I52" s="9">
        <f t="shared" si="1"/>
        <v>22274.28</v>
      </c>
    </row>
    <row r="53" spans="1:9" x14ac:dyDescent="0.25">
      <c r="A53" s="111">
        <v>31</v>
      </c>
      <c r="B53" s="112"/>
      <c r="C53" s="113"/>
      <c r="D53" s="72" t="s">
        <v>11</v>
      </c>
      <c r="E53" s="59"/>
      <c r="F53" s="59"/>
      <c r="G53" s="8">
        <f>16201.09+2673.18</f>
        <v>18874.27</v>
      </c>
      <c r="H53" s="9">
        <f t="shared" si="1"/>
        <v>18874.27</v>
      </c>
      <c r="I53" s="9">
        <f t="shared" si="1"/>
        <v>18874.27</v>
      </c>
    </row>
    <row r="54" spans="1:9" x14ac:dyDescent="0.25">
      <c r="A54" s="111">
        <v>32</v>
      </c>
      <c r="B54" s="112"/>
      <c r="C54" s="113"/>
      <c r="D54" s="72" t="s">
        <v>23</v>
      </c>
      <c r="E54" s="59"/>
      <c r="F54" s="59"/>
      <c r="G54" s="9">
        <f>G52-G53</f>
        <v>3400.0099999999984</v>
      </c>
      <c r="H54" s="9">
        <f t="shared" si="1"/>
        <v>3400.0099999999984</v>
      </c>
      <c r="I54" s="9">
        <f t="shared" si="1"/>
        <v>3400.0099999999984</v>
      </c>
    </row>
  </sheetData>
  <mergeCells count="44">
    <mergeCell ref="A17:C17"/>
    <mergeCell ref="A15:C15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  <mergeCell ref="A27:C27"/>
    <mergeCell ref="A28:C28"/>
    <mergeCell ref="A29:C29"/>
    <mergeCell ref="A18:C18"/>
    <mergeCell ref="A19:C19"/>
    <mergeCell ref="A20:C20"/>
    <mergeCell ref="A21:C21"/>
    <mergeCell ref="A37:C37"/>
    <mergeCell ref="A30:C30"/>
    <mergeCell ref="A31:C31"/>
    <mergeCell ref="A32:C32"/>
    <mergeCell ref="A33:C33"/>
    <mergeCell ref="A34:C34"/>
    <mergeCell ref="A35:C35"/>
    <mergeCell ref="A36:C36"/>
    <mergeCell ref="A51:C51"/>
    <mergeCell ref="A52:C52"/>
    <mergeCell ref="A53:C53"/>
    <mergeCell ref="A49:C49"/>
    <mergeCell ref="A54:C54"/>
    <mergeCell ref="A50:C50"/>
    <mergeCell ref="A38:C38"/>
    <mergeCell ref="A46:C46"/>
    <mergeCell ref="A47:C47"/>
    <mergeCell ref="A48:C48"/>
    <mergeCell ref="A39:C39"/>
    <mergeCell ref="A45:C45"/>
    <mergeCell ref="A40:C40"/>
    <mergeCell ref="A41:C41"/>
    <mergeCell ref="A42:C42"/>
    <mergeCell ref="A43:C43"/>
    <mergeCell ref="A44:C44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SIMORA D.O.O.</cp:lastModifiedBy>
  <cp:lastPrinted>2023-09-07T12:06:01Z</cp:lastPrinted>
  <dcterms:created xsi:type="dcterms:W3CDTF">2022-08-12T12:51:27Z</dcterms:created>
  <dcterms:modified xsi:type="dcterms:W3CDTF">2023-10-04T05:50:55Z</dcterms:modified>
</cp:coreProperties>
</file>